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NTIN\Dropbox\Corp 2020\backup\"/>
    </mc:Choice>
  </mc:AlternateContent>
  <bookViews>
    <workbookView xWindow="0" yWindow="0" windowWidth="28800" windowHeight="11835" activeTab="2"/>
  </bookViews>
  <sheets>
    <sheet name="Plastic injection case" sheetId="1" r:id="rId1"/>
    <sheet name="Buy or lease" sheetId="2" r:id="rId2"/>
    <sheet name="LBO" sheetId="3" r:id="rId3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3" l="1"/>
  <c r="P8" i="3"/>
  <c r="Q4" i="3"/>
  <c r="Q6" i="3"/>
  <c r="Q7" i="3"/>
  <c r="Q8" i="3"/>
  <c r="R4" i="3"/>
  <c r="R6" i="3"/>
  <c r="R7" i="3"/>
  <c r="R8" i="3"/>
  <c r="S4" i="3"/>
  <c r="S6" i="3"/>
  <c r="S7" i="3"/>
  <c r="S8" i="3"/>
  <c r="O8" i="3"/>
  <c r="H77" i="1"/>
  <c r="R75" i="1"/>
  <c r="J75" i="1"/>
  <c r="K75" i="1"/>
  <c r="L75" i="1"/>
  <c r="M75" i="1"/>
  <c r="N75" i="1"/>
  <c r="O75" i="1"/>
  <c r="P75" i="1"/>
  <c r="Q75" i="1"/>
  <c r="I75" i="1"/>
  <c r="H75" i="1"/>
  <c r="H65" i="1"/>
  <c r="K71" i="1"/>
  <c r="J71" i="1"/>
  <c r="K72" i="1"/>
  <c r="K73" i="1"/>
  <c r="I71" i="1"/>
  <c r="I73" i="1"/>
  <c r="J72" i="1"/>
  <c r="J73" i="1"/>
  <c r="L72" i="1"/>
  <c r="L73" i="1"/>
  <c r="I72" i="1"/>
  <c r="H71" i="1"/>
  <c r="L71" i="1"/>
  <c r="H5" i="2"/>
  <c r="I5" i="2"/>
  <c r="J5" i="2"/>
  <c r="K5" i="2"/>
  <c r="L5" i="2"/>
  <c r="M5" i="2"/>
  <c r="N5" i="2"/>
  <c r="O5" i="2"/>
  <c r="P5" i="2"/>
  <c r="G5" i="2"/>
  <c r="G4" i="2"/>
  <c r="M72" i="1"/>
  <c r="M73" i="1"/>
  <c r="M71" i="1"/>
  <c r="G15" i="2"/>
  <c r="P6" i="2"/>
  <c r="P7" i="2"/>
  <c r="N72" i="1"/>
  <c r="N73" i="1"/>
  <c r="N71" i="1"/>
  <c r="G16" i="2"/>
  <c r="G17" i="2"/>
  <c r="B23" i="3"/>
  <c r="H6" i="3"/>
  <c r="K6" i="3"/>
  <c r="H15" i="3"/>
  <c r="G5" i="3"/>
  <c r="H5" i="3"/>
  <c r="O4" i="3"/>
  <c r="O5" i="3"/>
  <c r="O72" i="1"/>
  <c r="O73" i="1"/>
  <c r="G13" i="3"/>
  <c r="P5" i="3"/>
  <c r="I5" i="3"/>
  <c r="H13" i="3"/>
  <c r="H14" i="3"/>
  <c r="L6" i="3"/>
  <c r="I6" i="3"/>
  <c r="O6" i="3"/>
  <c r="H7" i="3"/>
  <c r="H8" i="3"/>
  <c r="J6" i="3"/>
  <c r="G19" i="3"/>
  <c r="O71" i="1"/>
  <c r="H9" i="3"/>
  <c r="H11" i="3"/>
  <c r="I13" i="3"/>
  <c r="I14" i="3"/>
  <c r="J5" i="3"/>
  <c r="Q5" i="3"/>
  <c r="P4" i="3"/>
  <c r="O7" i="3"/>
  <c r="P72" i="1"/>
  <c r="P73" i="1"/>
  <c r="H17" i="3"/>
  <c r="H19" i="3"/>
  <c r="J13" i="3"/>
  <c r="J14" i="3"/>
  <c r="K5" i="3"/>
  <c r="P6" i="3"/>
  <c r="R5" i="3"/>
  <c r="P71" i="1"/>
  <c r="I7" i="3"/>
  <c r="I8" i="3"/>
  <c r="P7" i="3"/>
  <c r="L5" i="3"/>
  <c r="K13" i="3"/>
  <c r="K14" i="3"/>
  <c r="S5" i="3"/>
  <c r="Q72" i="1"/>
  <c r="Q73" i="1"/>
  <c r="Q71" i="1"/>
  <c r="L13" i="3"/>
  <c r="L14" i="3"/>
  <c r="I9" i="3"/>
  <c r="I11" i="3"/>
  <c r="I17" i="3"/>
  <c r="I19" i="3"/>
  <c r="R72" i="1"/>
  <c r="R73" i="1"/>
  <c r="J7" i="3"/>
  <c r="J8" i="3"/>
  <c r="R71" i="1"/>
  <c r="J9" i="3"/>
  <c r="J11" i="3"/>
  <c r="J17" i="3"/>
  <c r="J19" i="3"/>
  <c r="K7" i="3"/>
  <c r="K8" i="3"/>
  <c r="K9" i="3"/>
  <c r="K11" i="3"/>
  <c r="K17" i="3"/>
  <c r="K19" i="3"/>
  <c r="L7" i="3"/>
  <c r="L8" i="3"/>
  <c r="L9" i="3"/>
  <c r="L11" i="3"/>
  <c r="L17" i="3"/>
  <c r="L19" i="3"/>
  <c r="G22" i="3"/>
  <c r="G20" i="3"/>
  <c r="G21" i="3"/>
  <c r="B7" i="2"/>
  <c r="F8" i="2"/>
  <c r="F21" i="2"/>
  <c r="H4" i="2"/>
  <c r="I4" i="2"/>
  <c r="J4" i="2"/>
  <c r="K4" i="2"/>
  <c r="L4" i="2"/>
  <c r="M4" i="2"/>
  <c r="N4" i="2"/>
  <c r="O4" i="2"/>
  <c r="P4" i="2"/>
  <c r="G2" i="2"/>
  <c r="H2" i="2"/>
  <c r="H3" i="2"/>
  <c r="H8" i="2"/>
  <c r="I2" i="2"/>
  <c r="G3" i="2"/>
  <c r="G8" i="2"/>
  <c r="J65" i="1"/>
  <c r="H67" i="1"/>
  <c r="K65" i="1"/>
  <c r="L65" i="1"/>
  <c r="M65" i="1"/>
  <c r="N65" i="1"/>
  <c r="O65" i="1"/>
  <c r="P65" i="1"/>
  <c r="Q65" i="1"/>
  <c r="R65" i="1"/>
  <c r="I65" i="1"/>
  <c r="R64" i="1"/>
  <c r="J63" i="1"/>
  <c r="K63" i="1"/>
  <c r="L63" i="1"/>
  <c r="M63" i="1"/>
  <c r="N63" i="1"/>
  <c r="O63" i="1"/>
  <c r="P63" i="1"/>
  <c r="Q63" i="1"/>
  <c r="R63" i="1"/>
  <c r="I63" i="1"/>
  <c r="R61" i="1"/>
  <c r="R59" i="1"/>
  <c r="R57" i="1"/>
  <c r="R56" i="1"/>
  <c r="R55" i="1"/>
  <c r="R54" i="1"/>
  <c r="R52" i="1"/>
  <c r="R50" i="1"/>
  <c r="R48" i="1"/>
  <c r="R47" i="1"/>
  <c r="R46" i="1"/>
  <c r="R45" i="1"/>
  <c r="R44" i="1"/>
  <c r="J42" i="1"/>
  <c r="K42" i="1"/>
  <c r="L42" i="1"/>
  <c r="M42" i="1"/>
  <c r="N42" i="1"/>
  <c r="O42" i="1"/>
  <c r="P42" i="1"/>
  <c r="Q42" i="1"/>
  <c r="R42" i="1"/>
  <c r="I42" i="1"/>
  <c r="B53" i="1"/>
  <c r="J41" i="1"/>
  <c r="K41" i="1"/>
  <c r="L41" i="1"/>
  <c r="M41" i="1"/>
  <c r="N41" i="1"/>
  <c r="O41" i="1"/>
  <c r="P41" i="1"/>
  <c r="Q41" i="1"/>
  <c r="R41" i="1"/>
  <c r="I41" i="1"/>
  <c r="L39" i="1"/>
  <c r="M39" i="1"/>
  <c r="N39" i="1"/>
  <c r="O39" i="1"/>
  <c r="P39" i="1"/>
  <c r="Q39" i="1"/>
  <c r="R39" i="1"/>
  <c r="K37" i="1"/>
  <c r="L37" i="1"/>
  <c r="M37" i="1"/>
  <c r="N37" i="1"/>
  <c r="O37" i="1"/>
  <c r="P37" i="1"/>
  <c r="Q37" i="1"/>
  <c r="R37" i="1"/>
  <c r="K38" i="1"/>
  <c r="L38" i="1"/>
  <c r="M38" i="1"/>
  <c r="N38" i="1"/>
  <c r="O38" i="1"/>
  <c r="P38" i="1"/>
  <c r="Q38" i="1"/>
  <c r="R38" i="1"/>
  <c r="K39" i="1"/>
  <c r="J38" i="1"/>
  <c r="J37" i="1"/>
  <c r="I37" i="1"/>
  <c r="I38" i="1"/>
  <c r="J39" i="1"/>
  <c r="I34" i="1"/>
  <c r="H33" i="1"/>
  <c r="H32" i="1"/>
  <c r="H31" i="1"/>
  <c r="K28" i="1"/>
  <c r="L28" i="1"/>
  <c r="M28" i="1"/>
  <c r="N28" i="1"/>
  <c r="O28" i="1"/>
  <c r="P28" i="1"/>
  <c r="Q28" i="1"/>
  <c r="R28" i="1"/>
  <c r="J28" i="1"/>
  <c r="I28" i="1"/>
  <c r="J27" i="1"/>
  <c r="K27" i="1"/>
  <c r="L27" i="1"/>
  <c r="M27" i="1"/>
  <c r="N27" i="1"/>
  <c r="O27" i="1"/>
  <c r="P27" i="1"/>
  <c r="Q27" i="1"/>
  <c r="R27" i="1"/>
  <c r="I27" i="1"/>
  <c r="J25" i="1"/>
  <c r="K25" i="1"/>
  <c r="L25" i="1"/>
  <c r="M25" i="1"/>
  <c r="N25" i="1"/>
  <c r="O25" i="1"/>
  <c r="P25" i="1"/>
  <c r="Q25" i="1"/>
  <c r="R25" i="1"/>
  <c r="J26" i="1"/>
  <c r="K26" i="1"/>
  <c r="L26" i="1"/>
  <c r="M26" i="1"/>
  <c r="N26" i="1"/>
  <c r="O26" i="1"/>
  <c r="P26" i="1"/>
  <c r="Q26" i="1"/>
  <c r="R26" i="1"/>
  <c r="I26" i="1"/>
  <c r="I25" i="1"/>
  <c r="J21" i="1"/>
  <c r="K21" i="1"/>
  <c r="L21" i="1"/>
  <c r="M21" i="1"/>
  <c r="N21" i="1"/>
  <c r="O21" i="1"/>
  <c r="P21" i="1"/>
  <c r="Q21" i="1"/>
  <c r="R21" i="1"/>
  <c r="I21" i="1"/>
  <c r="K20" i="1"/>
  <c r="L20" i="1"/>
  <c r="M20" i="1"/>
  <c r="N20" i="1"/>
  <c r="O20" i="1"/>
  <c r="P20" i="1"/>
  <c r="Q20" i="1"/>
  <c r="R20" i="1"/>
  <c r="J20" i="1"/>
  <c r="I20" i="1"/>
  <c r="J24" i="1"/>
  <c r="K24" i="1"/>
  <c r="L24" i="1"/>
  <c r="M24" i="1"/>
  <c r="N24" i="1"/>
  <c r="O24" i="1"/>
  <c r="P24" i="1"/>
  <c r="Q24" i="1"/>
  <c r="R24" i="1"/>
  <c r="I24" i="1"/>
  <c r="J17" i="1"/>
  <c r="K17" i="1"/>
  <c r="L17" i="1"/>
  <c r="M17" i="1"/>
  <c r="M18" i="1"/>
  <c r="M19" i="1"/>
  <c r="N17" i="1"/>
  <c r="O17" i="1"/>
  <c r="P17" i="1"/>
  <c r="Q17" i="1"/>
  <c r="Q18" i="1"/>
  <c r="Q19" i="1"/>
  <c r="R17" i="1"/>
  <c r="J18" i="1"/>
  <c r="K18" i="1"/>
  <c r="L18" i="1"/>
  <c r="L19" i="1"/>
  <c r="N18" i="1"/>
  <c r="O18" i="1"/>
  <c r="P18" i="1"/>
  <c r="P19" i="1"/>
  <c r="R18" i="1"/>
  <c r="J19" i="1"/>
  <c r="K19" i="1"/>
  <c r="N19" i="1"/>
  <c r="O19" i="1"/>
  <c r="R19" i="1"/>
  <c r="I19" i="1"/>
  <c r="I18" i="1"/>
  <c r="I17" i="1"/>
  <c r="K16" i="1"/>
  <c r="L16" i="1"/>
  <c r="M16" i="1"/>
  <c r="N16" i="1"/>
  <c r="O16" i="1"/>
  <c r="P16" i="1"/>
  <c r="Q16" i="1"/>
  <c r="R16" i="1"/>
  <c r="J16" i="1"/>
  <c r="I16" i="1"/>
  <c r="K15" i="1"/>
  <c r="L15" i="1"/>
  <c r="M15" i="1"/>
  <c r="N15" i="1"/>
  <c r="O15" i="1"/>
  <c r="P15" i="1"/>
  <c r="Q15" i="1"/>
  <c r="R15" i="1"/>
  <c r="J15" i="1"/>
  <c r="I15" i="1"/>
  <c r="J13" i="1"/>
  <c r="K13" i="1"/>
  <c r="L13" i="1"/>
  <c r="M13" i="1"/>
  <c r="N13" i="1"/>
  <c r="O13" i="1"/>
  <c r="P13" i="1"/>
  <c r="Q13" i="1"/>
  <c r="R13" i="1"/>
  <c r="I13" i="1"/>
  <c r="K12" i="1"/>
  <c r="L12" i="1"/>
  <c r="M12" i="1"/>
  <c r="N12" i="1"/>
  <c r="O12" i="1"/>
  <c r="P12" i="1"/>
  <c r="Q12" i="1"/>
  <c r="R12" i="1"/>
  <c r="J12" i="1"/>
  <c r="I12" i="1"/>
  <c r="G19" i="2"/>
  <c r="J2" i="2"/>
  <c r="I3" i="2"/>
  <c r="I8" i="2"/>
  <c r="K9" i="1"/>
  <c r="J9" i="1"/>
  <c r="J6" i="1"/>
  <c r="J10" i="1"/>
  <c r="K6" i="1"/>
  <c r="K8" i="1"/>
  <c r="K10" i="1"/>
  <c r="L6" i="1"/>
  <c r="L8" i="1"/>
  <c r="L9" i="1"/>
  <c r="L10" i="1"/>
  <c r="M6" i="1"/>
  <c r="M8" i="1"/>
  <c r="M9" i="1"/>
  <c r="M10" i="1"/>
  <c r="N6" i="1"/>
  <c r="N8" i="1"/>
  <c r="N9" i="1"/>
  <c r="N10" i="1"/>
  <c r="O6" i="1"/>
  <c r="O8" i="1"/>
  <c r="O9" i="1"/>
  <c r="O10" i="1"/>
  <c r="P6" i="1"/>
  <c r="P8" i="1"/>
  <c r="P9" i="1"/>
  <c r="P10" i="1"/>
  <c r="Q6" i="1"/>
  <c r="Q8" i="1"/>
  <c r="Q9" i="1"/>
  <c r="Q10" i="1"/>
  <c r="R6" i="1"/>
  <c r="R8" i="1"/>
  <c r="R9" i="1"/>
  <c r="R10" i="1"/>
  <c r="J8" i="1"/>
  <c r="I10" i="1"/>
  <c r="I9" i="1"/>
  <c r="I8" i="1"/>
  <c r="M7" i="1"/>
  <c r="N7" i="1"/>
  <c r="O7" i="1"/>
  <c r="P7" i="1"/>
  <c r="Q7" i="1"/>
  <c r="R7" i="1"/>
  <c r="L7" i="1"/>
  <c r="K7" i="1"/>
  <c r="J7" i="1"/>
  <c r="I7" i="1"/>
  <c r="I6" i="1"/>
  <c r="J5" i="1"/>
  <c r="K5" i="1"/>
  <c r="L5" i="1"/>
  <c r="M5" i="1"/>
  <c r="N5" i="1"/>
  <c r="O5" i="1"/>
  <c r="P5" i="1"/>
  <c r="Q5" i="1"/>
  <c r="R5" i="1"/>
  <c r="I5" i="1"/>
  <c r="K4" i="1"/>
  <c r="L4" i="1"/>
  <c r="M4" i="1"/>
  <c r="N4" i="1"/>
  <c r="O4" i="1"/>
  <c r="P4" i="1"/>
  <c r="Q4" i="1"/>
  <c r="R4" i="1"/>
  <c r="J4" i="1"/>
  <c r="I4" i="1"/>
  <c r="B5" i="1"/>
  <c r="B4" i="1"/>
  <c r="G14" i="2"/>
  <c r="G13" i="2"/>
  <c r="H15" i="2"/>
  <c r="H16" i="2"/>
  <c r="K2" i="2"/>
  <c r="J3" i="2"/>
  <c r="J8" i="2"/>
  <c r="H17" i="2"/>
  <c r="H19" i="2"/>
  <c r="L2" i="2"/>
  <c r="K3" i="2"/>
  <c r="K8" i="2"/>
  <c r="H14" i="2"/>
  <c r="H13" i="2"/>
  <c r="I15" i="2"/>
  <c r="I16" i="2"/>
  <c r="M2" i="2"/>
  <c r="L3" i="2"/>
  <c r="L8" i="2"/>
  <c r="I17" i="2"/>
  <c r="N2" i="2"/>
  <c r="M3" i="2"/>
  <c r="M8" i="2"/>
  <c r="I14" i="2"/>
  <c r="I13" i="2"/>
  <c r="J15" i="2"/>
  <c r="J16" i="2"/>
  <c r="I19" i="2"/>
  <c r="O2" i="2"/>
  <c r="N3" i="2"/>
  <c r="N8" i="2"/>
  <c r="J17" i="2"/>
  <c r="P2" i="2"/>
  <c r="P3" i="2"/>
  <c r="P8" i="2"/>
  <c r="F10" i="2"/>
  <c r="O3" i="2"/>
  <c r="O8" i="2"/>
  <c r="J14" i="2"/>
  <c r="J13" i="2"/>
  <c r="K15" i="2"/>
  <c r="J19" i="2"/>
  <c r="F9" i="2"/>
  <c r="K16" i="2"/>
  <c r="K17" i="2"/>
  <c r="K14" i="2"/>
  <c r="K13" i="2"/>
  <c r="L15" i="2"/>
  <c r="L16" i="2"/>
  <c r="L17" i="2"/>
  <c r="L14" i="2"/>
  <c r="L13" i="2"/>
  <c r="M15" i="2"/>
  <c r="M16" i="2"/>
  <c r="K19" i="2"/>
  <c r="L19" i="2"/>
  <c r="M17" i="2"/>
  <c r="M14" i="2"/>
  <c r="M13" i="2"/>
  <c r="N15" i="2"/>
  <c r="M19" i="2"/>
  <c r="N16" i="2"/>
  <c r="N17" i="2"/>
  <c r="N14" i="2"/>
  <c r="N13" i="2"/>
  <c r="O15" i="2"/>
  <c r="O16" i="2"/>
  <c r="O17" i="2"/>
  <c r="O14" i="2"/>
  <c r="O13" i="2"/>
  <c r="P15" i="2"/>
  <c r="P16" i="2"/>
  <c r="N19" i="2"/>
  <c r="O19" i="2"/>
  <c r="P17" i="2"/>
  <c r="P14" i="2"/>
  <c r="P13" i="2"/>
  <c r="P19" i="2"/>
</calcChain>
</file>

<file path=xl/sharedStrings.xml><?xml version="1.0" encoding="utf-8"?>
<sst xmlns="http://schemas.openxmlformats.org/spreadsheetml/2006/main" count="204" uniqueCount="154">
  <si>
    <t>Assumptions</t>
  </si>
  <si>
    <t>Development cost</t>
  </si>
  <si>
    <t>$</t>
  </si>
  <si>
    <t>Land</t>
  </si>
  <si>
    <t>Structure</t>
  </si>
  <si>
    <t>Equipment cost</t>
  </si>
  <si>
    <t>Year 0</t>
  </si>
  <si>
    <t>Year 1</t>
  </si>
  <si>
    <t>Useful life</t>
  </si>
  <si>
    <t>years</t>
  </si>
  <si>
    <t>Equipment</t>
  </si>
  <si>
    <t>Production capacity</t>
  </si>
  <si>
    <t>Maximum capacity</t>
  </si>
  <si>
    <t>units</t>
  </si>
  <si>
    <t>Year 1 capacity</t>
  </si>
  <si>
    <t>Year 2 capacity</t>
  </si>
  <si>
    <t>Production costs</t>
  </si>
  <si>
    <t>Fixed cost</t>
  </si>
  <si>
    <t>Variable cost</t>
  </si>
  <si>
    <t>$ per unit</t>
  </si>
  <si>
    <t>Yearly growth</t>
  </si>
  <si>
    <t>SG&amp;A</t>
  </si>
  <si>
    <t>of sales</t>
  </si>
  <si>
    <t>Working capital</t>
  </si>
  <si>
    <t>Final good inventory</t>
  </si>
  <si>
    <t>Accounts receivables</t>
  </si>
  <si>
    <t>Accounts payables</t>
  </si>
  <si>
    <t>of variable cost</t>
  </si>
  <si>
    <t>Market projection</t>
  </si>
  <si>
    <t>Potential sales (year 1)</t>
  </si>
  <si>
    <t>Yearly growth rate</t>
  </si>
  <si>
    <t>Unit price</t>
  </si>
  <si>
    <t>Unit price (year 1)</t>
  </si>
  <si>
    <t>Reversion</t>
  </si>
  <si>
    <t>Facility (nsp)</t>
  </si>
  <si>
    <t>Book</t>
  </si>
  <si>
    <t>Inventories</t>
  </si>
  <si>
    <t>Market</t>
  </si>
  <si>
    <t>Net receivables</t>
  </si>
  <si>
    <t>Year</t>
  </si>
  <si>
    <t>Potential sales (PS)</t>
  </si>
  <si>
    <t>Inventory requirement at potential (RIPS)</t>
  </si>
  <si>
    <t>Production needed to sell at potential (PNP)</t>
  </si>
  <si>
    <t>Capacity</t>
  </si>
  <si>
    <t>Units produced  (UP)</t>
  </si>
  <si>
    <t>Units sold (US)</t>
  </si>
  <si>
    <t>Ending inventory (EI)</t>
  </si>
  <si>
    <t>Actual sales ($)</t>
  </si>
  <si>
    <t>Fixed operating cost</t>
  </si>
  <si>
    <t>Variable cost per unit</t>
  </si>
  <si>
    <t>Variable operating cost</t>
  </si>
  <si>
    <t>Total operating cost</t>
  </si>
  <si>
    <t>Manufacturing cost per unit produced</t>
  </si>
  <si>
    <t xml:space="preserve"> </t>
  </si>
  <si>
    <t>COGS</t>
  </si>
  <si>
    <t>Inventory</t>
  </si>
  <si>
    <t>Payables</t>
  </si>
  <si>
    <t>Receivables</t>
  </si>
  <si>
    <t>Inventory (EIC)</t>
  </si>
  <si>
    <t>Total</t>
  </si>
  <si>
    <t>Addition to WK</t>
  </si>
  <si>
    <t>Investment</t>
  </si>
  <si>
    <t>Equipment (year 0)</t>
  </si>
  <si>
    <t>Equipment (year 1)</t>
  </si>
  <si>
    <t>Depreciation</t>
  </si>
  <si>
    <t>EBIT</t>
  </si>
  <si>
    <t>Taxes on EBIT</t>
  </si>
  <si>
    <t>Tax rates</t>
  </si>
  <si>
    <t>Ordinary</t>
  </si>
  <si>
    <t>capital gains</t>
  </si>
  <si>
    <t>depreciation recapture</t>
  </si>
  <si>
    <t>WACC</t>
  </si>
  <si>
    <t>Fraction of debt</t>
  </si>
  <si>
    <t>Required return on debt</t>
  </si>
  <si>
    <t>Fraction of equity</t>
  </si>
  <si>
    <t>required return on equity</t>
  </si>
  <si>
    <t>Facility/plant</t>
  </si>
  <si>
    <t>OB + Capex</t>
  </si>
  <si>
    <t>All deprectiation</t>
  </si>
  <si>
    <t>Taxes at reversion</t>
  </si>
  <si>
    <t>Net cash from reversion (facility)</t>
  </si>
  <si>
    <t>Machines</t>
  </si>
  <si>
    <t>Net cash from reversion (Machines)</t>
  </si>
  <si>
    <t>Book value</t>
  </si>
  <si>
    <t>Net cash from reversion (Inventory)</t>
  </si>
  <si>
    <t>Receivables - Payables</t>
  </si>
  <si>
    <t>Net cash flow from reversion (net receivables)</t>
  </si>
  <si>
    <t>Unlevered FCFF (operations)</t>
  </si>
  <si>
    <t>Unlevered FCFF (reversion)</t>
  </si>
  <si>
    <t xml:space="preserve">Unlevered FCFF (total) </t>
  </si>
  <si>
    <t>NPV</t>
  </si>
  <si>
    <t>Lease payments</t>
  </si>
  <si>
    <t>Tax gain from lease deduction</t>
  </si>
  <si>
    <t>IRR</t>
  </si>
  <si>
    <t>Rent</t>
  </si>
  <si>
    <t xml:space="preserve">Lease set up </t>
  </si>
  <si>
    <t>Lease length</t>
  </si>
  <si>
    <t>Incremental unlevered FCFF</t>
  </si>
  <si>
    <t>Borrowing rate</t>
  </si>
  <si>
    <t xml:space="preserve">Discount rate </t>
  </si>
  <si>
    <t>Debt Schedule</t>
  </si>
  <si>
    <t>Year 0 EBITDA</t>
  </si>
  <si>
    <t>M</t>
  </si>
  <si>
    <t>Beginning balance</t>
  </si>
  <si>
    <t>EBITDA growth</t>
  </si>
  <si>
    <t>EBITDA</t>
  </si>
  <si>
    <t>Payment</t>
  </si>
  <si>
    <t>Entry multiple</t>
  </si>
  <si>
    <t>Interest</t>
  </si>
  <si>
    <t>Exit multiple</t>
  </si>
  <si>
    <t>Debt amortization</t>
  </si>
  <si>
    <t>Taxable income</t>
  </si>
  <si>
    <t>End Balance</t>
  </si>
  <si>
    <t>Taxes</t>
  </si>
  <si>
    <t>of EBITDA</t>
  </si>
  <si>
    <t>Net income</t>
  </si>
  <si>
    <t>Capex year 1</t>
  </si>
  <si>
    <t>Depreciation rate (initial)</t>
  </si>
  <si>
    <t>Depreciation rate (year 1)</t>
  </si>
  <si>
    <t>Change in WK</t>
  </si>
  <si>
    <t>Capex</t>
  </si>
  <si>
    <t>FCFE</t>
  </si>
  <si>
    <t>Term</t>
  </si>
  <si>
    <t>Reversion FCFE</t>
  </si>
  <si>
    <t>Interest Rate</t>
  </si>
  <si>
    <t>Total FCFE</t>
  </si>
  <si>
    <t>Income tax rate</t>
  </si>
  <si>
    <t>Purchase price</t>
  </si>
  <si>
    <t>Discount rate at the equity level</t>
  </si>
  <si>
    <t>Non-operating asssts at entry</t>
  </si>
  <si>
    <t>Working capital stock</t>
  </si>
  <si>
    <t>Entry debt-to-value ratio</t>
  </si>
  <si>
    <t>$M</t>
  </si>
  <si>
    <t>Multiple of Invested Capital (MOIC)</t>
  </si>
  <si>
    <t>Many assumptions one could make. Typical assumption I see</t>
  </si>
  <si>
    <t>and is then sold at par at reversion. I'm doing that here.</t>
  </si>
  <si>
    <t>&lt;---- strong NOA assumption here, see notes down to the left</t>
  </si>
  <si>
    <t>&lt;--- this is commonly known as the equity multiple</t>
  </si>
  <si>
    <t>Notes: Exercise is not clear enough as to what to do with NOAs.</t>
  </si>
  <si>
    <t>when NOA is mostly cash is that cash simply accumulates</t>
  </si>
  <si>
    <t>Clearly not the highest and best use for that cash, however.</t>
  </si>
  <si>
    <t>Reversion (BT)</t>
  </si>
  <si>
    <t>Capital gains</t>
  </si>
  <si>
    <t>Equivalent loan</t>
  </si>
  <si>
    <t xml:space="preserve">Interest </t>
  </si>
  <si>
    <t>Interest tax shield</t>
  </si>
  <si>
    <t xml:space="preserve">Principal reduction </t>
  </si>
  <si>
    <t>Net cash flow</t>
  </si>
  <si>
    <t>Debt schedule</t>
  </si>
  <si>
    <t>NPV (equity level)</t>
  </si>
  <si>
    <t>Gain in lease depreciation shield</t>
  </si>
  <si>
    <t>Loss in structure depreciation shield</t>
  </si>
  <si>
    <t>Principal (end of year)</t>
  </si>
  <si>
    <t>Payment (Interest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</si>
</sst>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4" fontId="2" fillId="0" borderId="0" xfId="0" applyNumberFormat="1" applyFont="1"/>
    <xf numFmtId="4" fontId="0" fillId="0" borderId="0" xfId="0" applyNumberFormat="1"/>
    <xf numFmtId="9" fontId="0" fillId="0" borderId="0" xfId="1" applyFont="1"/>
    <xf numFmtId="4" fontId="2" fillId="0" borderId="1" xfId="0" applyNumberFormat="1" applyFont="1" applyBorder="1"/>
    <xf numFmtId="1" fontId="2" fillId="0" borderId="1" xfId="0" applyNumberFormat="1" applyFont="1" applyBorder="1"/>
    <xf numFmtId="10" fontId="0" fillId="0" borderId="0" xfId="1" applyNumberFormat="1" applyFont="1"/>
    <xf numFmtId="2" fontId="0" fillId="0" borderId="0" xfId="0" applyNumberFormat="1" applyFont="1" applyBorder="1"/>
    <xf numFmtId="0" fontId="2" fillId="0" borderId="3" xfId="0" applyFont="1" applyBorder="1"/>
    <xf numFmtId="0" fontId="0" fillId="0" borderId="0" xfId="0"/>
    <xf numFmtId="0" fontId="2" fillId="0" borderId="0" xfId="0" applyFont="1"/>
    <xf numFmtId="3" fontId="0" fillId="0" borderId="0" xfId="0" applyNumberFormat="1"/>
    <xf numFmtId="9" fontId="0" fillId="0" borderId="0" xfId="0" applyNumberFormat="1"/>
    <xf numFmtId="0" fontId="2" fillId="0" borderId="2" xfId="0" applyFont="1" applyBorder="1"/>
    <xf numFmtId="2" fontId="0" fillId="0" borderId="0" xfId="0" applyNumberFormat="1"/>
    <xf numFmtId="4" fontId="0" fillId="0" borderId="0" xfId="0" applyNumberFormat="1"/>
    <xf numFmtId="10" fontId="0" fillId="0" borderId="0" xfId="0" applyNumberFormat="1"/>
    <xf numFmtId="10" fontId="0" fillId="0" borderId="0" xfId="1" applyNumberFormat="1" applyFont="1"/>
    <xf numFmtId="0" fontId="0" fillId="0" borderId="0" xfId="0" applyFont="1" applyBorder="1"/>
    <xf numFmtId="1" fontId="0" fillId="0" borderId="0" xfId="0" applyNumberFormat="1"/>
    <xf numFmtId="0" fontId="3" fillId="0" borderId="0" xfId="0" applyFont="1"/>
    <xf numFmtId="8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zoomScale="160" zoomScaleNormal="160" workbookViewId="0">
      <selection activeCell="H79" sqref="H79"/>
    </sheetView>
  </sheetViews>
  <sheetFormatPr defaultRowHeight="15" x14ac:dyDescent="0.25"/>
  <cols>
    <col min="1" max="1" width="21.5703125" style="2" bestFit="1" customWidth="1"/>
    <col min="2" max="2" width="12.140625" style="2" bestFit="1" customWidth="1"/>
    <col min="3" max="6" width="9.140625" style="2"/>
    <col min="7" max="7" width="38.7109375" style="2" bestFit="1" customWidth="1"/>
    <col min="8" max="8" width="18.7109375" style="2" bestFit="1" customWidth="1"/>
    <col min="9" max="12" width="12.140625" style="2" bestFit="1" customWidth="1"/>
    <col min="13" max="18" width="13.140625" style="2" bestFit="1" customWidth="1"/>
    <col min="19" max="16384" width="9.140625" style="2"/>
  </cols>
  <sheetData>
    <row r="1" spans="1:18" x14ac:dyDescent="0.25">
      <c r="A1" s="1" t="s">
        <v>0</v>
      </c>
    </row>
    <row r="2" spans="1:18" ht="15.75" thickBot="1" x14ac:dyDescent="0.3">
      <c r="G2" s="4" t="s">
        <v>39</v>
      </c>
      <c r="H2" s="5">
        <v>0</v>
      </c>
      <c r="I2" s="5">
        <v>1</v>
      </c>
      <c r="J2" s="5">
        <v>2</v>
      </c>
      <c r="K2" s="5">
        <v>3</v>
      </c>
      <c r="L2" s="5">
        <v>4</v>
      </c>
      <c r="M2" s="5">
        <v>5</v>
      </c>
      <c r="N2" s="5">
        <v>6</v>
      </c>
      <c r="O2" s="5">
        <v>7</v>
      </c>
      <c r="P2" s="5">
        <v>8</v>
      </c>
      <c r="Q2" s="5">
        <v>9</v>
      </c>
      <c r="R2" s="5">
        <v>10</v>
      </c>
    </row>
    <row r="3" spans="1:18" ht="15.75" thickTop="1" x14ac:dyDescent="0.25">
      <c r="A3" s="2" t="s">
        <v>1</v>
      </c>
      <c r="B3" s="2">
        <v>6000000</v>
      </c>
      <c r="C3" s="2" t="s">
        <v>2</v>
      </c>
    </row>
    <row r="4" spans="1:18" x14ac:dyDescent="0.25">
      <c r="A4" s="2" t="s">
        <v>3</v>
      </c>
      <c r="B4" s="2">
        <f>20%*B3</f>
        <v>1200000</v>
      </c>
      <c r="C4" s="2" t="s">
        <v>2</v>
      </c>
      <c r="G4" s="2" t="s">
        <v>40</v>
      </c>
      <c r="I4" s="2">
        <f>B32</f>
        <v>850000</v>
      </c>
      <c r="J4" s="2">
        <f>I4*(1+$B$33)</f>
        <v>884000</v>
      </c>
      <c r="K4" s="2">
        <f t="shared" ref="K4:R4" si="0">J4*(1+$B$33)</f>
        <v>919360</v>
      </c>
      <c r="L4" s="2">
        <f t="shared" si="0"/>
        <v>956134.40000000002</v>
      </c>
      <c r="M4" s="2">
        <f t="shared" si="0"/>
        <v>994379.77600000007</v>
      </c>
      <c r="N4" s="2">
        <f t="shared" si="0"/>
        <v>1034154.9670400001</v>
      </c>
      <c r="O4" s="2">
        <f t="shared" si="0"/>
        <v>1075521.1657216002</v>
      </c>
      <c r="P4" s="2">
        <f t="shared" si="0"/>
        <v>1118542.0123504642</v>
      </c>
      <c r="Q4" s="2">
        <f t="shared" si="0"/>
        <v>1163283.6928444828</v>
      </c>
      <c r="R4" s="2">
        <f t="shared" si="0"/>
        <v>1209815.0405582623</v>
      </c>
    </row>
    <row r="5" spans="1:18" x14ac:dyDescent="0.25">
      <c r="A5" s="2" t="s">
        <v>4</v>
      </c>
      <c r="B5" s="2">
        <f>B3-B4</f>
        <v>4800000</v>
      </c>
      <c r="C5" s="2" t="s">
        <v>2</v>
      </c>
      <c r="G5" s="2" t="s">
        <v>41</v>
      </c>
      <c r="I5" s="2">
        <f>I4*$B$27</f>
        <v>42500</v>
      </c>
      <c r="J5" s="2">
        <f t="shared" ref="J5:R5" si="1">J4*$B$27</f>
        <v>44200</v>
      </c>
      <c r="K5" s="2">
        <f t="shared" si="1"/>
        <v>45968</v>
      </c>
      <c r="L5" s="2">
        <f t="shared" si="1"/>
        <v>47806.720000000001</v>
      </c>
      <c r="M5" s="2">
        <f t="shared" si="1"/>
        <v>49718.988800000006</v>
      </c>
      <c r="N5" s="2">
        <f t="shared" si="1"/>
        <v>51707.74835200001</v>
      </c>
      <c r="O5" s="2">
        <f t="shared" si="1"/>
        <v>53776.058286080013</v>
      </c>
      <c r="P5" s="2">
        <f t="shared" si="1"/>
        <v>55927.100617523218</v>
      </c>
      <c r="Q5" s="2">
        <f t="shared" si="1"/>
        <v>58164.184642224143</v>
      </c>
      <c r="R5" s="2">
        <f t="shared" si="1"/>
        <v>60490.752027913113</v>
      </c>
    </row>
    <row r="6" spans="1:18" x14ac:dyDescent="0.25">
      <c r="G6" s="2" t="s">
        <v>42</v>
      </c>
      <c r="I6" s="2">
        <f>I4+I5-0</f>
        <v>892500</v>
      </c>
      <c r="J6" s="2">
        <f>J4+J5-I10</f>
        <v>904390.47619047621</v>
      </c>
      <c r="K6" s="2">
        <f t="shared" ref="K6:R6" si="2">K4+K5-J10</f>
        <v>928479.92743764177</v>
      </c>
      <c r="L6" s="2">
        <f t="shared" si="2"/>
        <v>957973.12</v>
      </c>
      <c r="M6" s="2">
        <f t="shared" si="2"/>
        <v>996292.04480000015</v>
      </c>
      <c r="N6" s="2">
        <f t="shared" si="2"/>
        <v>1036143.726592</v>
      </c>
      <c r="O6" s="2">
        <f t="shared" si="2"/>
        <v>1079310.6054933944</v>
      </c>
      <c r="P6" s="2">
        <f t="shared" si="2"/>
        <v>1124469.750181593</v>
      </c>
      <c r="Q6" s="2">
        <f t="shared" si="2"/>
        <v>1171447.907830212</v>
      </c>
      <c r="R6" s="2">
        <f t="shared" si="2"/>
        <v>1220305.7940311041</v>
      </c>
    </row>
    <row r="7" spans="1:18" x14ac:dyDescent="0.25">
      <c r="A7" s="2" t="s">
        <v>5</v>
      </c>
      <c r="G7" s="2" t="s">
        <v>43</v>
      </c>
      <c r="I7" s="2">
        <f>$B$16*$B$17</f>
        <v>500000</v>
      </c>
      <c r="J7" s="2">
        <f>$B$16*$B$18</f>
        <v>750000</v>
      </c>
      <c r="K7" s="2">
        <f>$B$16</f>
        <v>1000000</v>
      </c>
      <c r="L7" s="2">
        <f>K7</f>
        <v>1000000</v>
      </c>
      <c r="M7" s="2">
        <f t="shared" ref="M7:R7" si="3">L7</f>
        <v>1000000</v>
      </c>
      <c r="N7" s="2">
        <f t="shared" si="3"/>
        <v>1000000</v>
      </c>
      <c r="O7" s="2">
        <f t="shared" si="3"/>
        <v>1000000</v>
      </c>
      <c r="P7" s="2">
        <f t="shared" si="3"/>
        <v>1000000</v>
      </c>
      <c r="Q7" s="2">
        <f t="shared" si="3"/>
        <v>1000000</v>
      </c>
      <c r="R7" s="2">
        <f t="shared" si="3"/>
        <v>1000000</v>
      </c>
    </row>
    <row r="8" spans="1:18" x14ac:dyDescent="0.25">
      <c r="A8" s="2" t="s">
        <v>6</v>
      </c>
      <c r="B8" s="2">
        <v>1500000</v>
      </c>
      <c r="C8" s="2" t="s">
        <v>2</v>
      </c>
      <c r="G8" s="2" t="s">
        <v>44</v>
      </c>
      <c r="I8" s="2">
        <f>MIN(I6,I7)</f>
        <v>500000</v>
      </c>
      <c r="J8" s="2">
        <f t="shared" ref="J8:R8" si="4">MIN(J6,J7)</f>
        <v>750000</v>
      </c>
      <c r="K8" s="2">
        <f t="shared" si="4"/>
        <v>928479.92743764177</v>
      </c>
      <c r="L8" s="2">
        <f t="shared" si="4"/>
        <v>957973.12</v>
      </c>
      <c r="M8" s="2">
        <f t="shared" si="4"/>
        <v>996292.04480000015</v>
      </c>
      <c r="N8" s="2">
        <f t="shared" si="4"/>
        <v>1000000</v>
      </c>
      <c r="O8" s="2">
        <f t="shared" si="4"/>
        <v>1000000</v>
      </c>
      <c r="P8" s="2">
        <f t="shared" si="4"/>
        <v>1000000</v>
      </c>
      <c r="Q8" s="2">
        <f t="shared" si="4"/>
        <v>1000000</v>
      </c>
      <c r="R8" s="2">
        <f t="shared" si="4"/>
        <v>1000000</v>
      </c>
    </row>
    <row r="9" spans="1:18" x14ac:dyDescent="0.25">
      <c r="A9" s="2" t="s">
        <v>7</v>
      </c>
      <c r="B9" s="2">
        <v>1000000</v>
      </c>
      <c r="C9" s="2" t="s">
        <v>2</v>
      </c>
      <c r="G9" s="2" t="s">
        <v>45</v>
      </c>
      <c r="I9" s="2">
        <f>(I8+0)/(1+$B$27)</f>
        <v>476190.47619047615</v>
      </c>
      <c r="J9" s="2">
        <f>(J8+I10)/(1+$B$27)</f>
        <v>736961.45124716545</v>
      </c>
      <c r="K9" s="2">
        <f t="shared" ref="K9:R9" si="5">(K8+J10)/(1+$B$27)</f>
        <v>919360</v>
      </c>
      <c r="L9" s="2">
        <f t="shared" si="5"/>
        <v>956134.39999999991</v>
      </c>
      <c r="M9" s="2">
        <f t="shared" si="5"/>
        <v>994379.77600000007</v>
      </c>
      <c r="N9" s="2">
        <f t="shared" si="5"/>
        <v>999732.37028571416</v>
      </c>
      <c r="O9" s="2">
        <f t="shared" si="5"/>
        <v>999987.25572789111</v>
      </c>
      <c r="P9" s="2">
        <f t="shared" si="5"/>
        <v>999999.39312989952</v>
      </c>
      <c r="Q9" s="2">
        <f t="shared" si="5"/>
        <v>999999.97110142373</v>
      </c>
      <c r="R9" s="2">
        <f t="shared" si="5"/>
        <v>999999.9986238773</v>
      </c>
    </row>
    <row r="10" spans="1:18" x14ac:dyDescent="0.25">
      <c r="G10" s="2" t="s">
        <v>46</v>
      </c>
      <c r="I10" s="2">
        <f>I9*$B$27</f>
        <v>23809.523809523809</v>
      </c>
      <c r="J10" s="2">
        <f t="shared" ref="J10:R10" si="6">J9*$B$27</f>
        <v>36848.072562358277</v>
      </c>
      <c r="K10" s="2">
        <f t="shared" si="6"/>
        <v>45968</v>
      </c>
      <c r="L10" s="2">
        <f t="shared" si="6"/>
        <v>47806.720000000001</v>
      </c>
      <c r="M10" s="2">
        <f t="shared" si="6"/>
        <v>49718.988800000006</v>
      </c>
      <c r="N10" s="2">
        <f t="shared" si="6"/>
        <v>49986.618514285714</v>
      </c>
      <c r="O10" s="2">
        <f t="shared" si="6"/>
        <v>49999.362786394558</v>
      </c>
      <c r="P10" s="2">
        <f t="shared" si="6"/>
        <v>49999.969656494977</v>
      </c>
      <c r="Q10" s="2">
        <f t="shared" si="6"/>
        <v>49999.998555071186</v>
      </c>
      <c r="R10" s="2">
        <f t="shared" si="6"/>
        <v>49999.999931193866</v>
      </c>
    </row>
    <row r="11" spans="1:18" x14ac:dyDescent="0.25">
      <c r="A11" s="2" t="s">
        <v>8</v>
      </c>
    </row>
    <row r="12" spans="1:18" x14ac:dyDescent="0.25">
      <c r="A12" s="2" t="s">
        <v>4</v>
      </c>
      <c r="B12" s="2">
        <v>39</v>
      </c>
      <c r="C12" s="2" t="s">
        <v>9</v>
      </c>
      <c r="G12" s="2" t="s">
        <v>31</v>
      </c>
      <c r="I12" s="2">
        <f>$B$34</f>
        <v>10</v>
      </c>
      <c r="J12" s="2">
        <f>I12*(1+$B$35)</f>
        <v>10.1</v>
      </c>
      <c r="K12" s="2">
        <f t="shared" ref="K12:R12" si="7">J12*(1+$B$35)</f>
        <v>10.201000000000001</v>
      </c>
      <c r="L12" s="2">
        <f t="shared" si="7"/>
        <v>10.30301</v>
      </c>
      <c r="M12" s="2">
        <f t="shared" si="7"/>
        <v>10.4060401</v>
      </c>
      <c r="N12" s="2">
        <f t="shared" si="7"/>
        <v>10.510100501</v>
      </c>
      <c r="O12" s="2">
        <f t="shared" si="7"/>
        <v>10.615201506010001</v>
      </c>
      <c r="P12" s="2">
        <f t="shared" si="7"/>
        <v>10.721353521070101</v>
      </c>
      <c r="Q12" s="2">
        <f t="shared" si="7"/>
        <v>10.828567056280802</v>
      </c>
      <c r="R12" s="2">
        <f t="shared" si="7"/>
        <v>10.936852726843609</v>
      </c>
    </row>
    <row r="13" spans="1:18" x14ac:dyDescent="0.25">
      <c r="A13" s="2" t="s">
        <v>10</v>
      </c>
      <c r="B13" s="2">
        <v>12</v>
      </c>
      <c r="C13" s="2" t="s">
        <v>9</v>
      </c>
      <c r="G13" s="2" t="s">
        <v>47</v>
      </c>
      <c r="I13" s="2">
        <f>I9*I12</f>
        <v>4761904.7619047612</v>
      </c>
      <c r="J13" s="2">
        <f t="shared" ref="J13:R13" si="8">J9*J12</f>
        <v>7443310.6575963711</v>
      </c>
      <c r="K13" s="2">
        <f t="shared" si="8"/>
        <v>9378391.3600000013</v>
      </c>
      <c r="L13" s="2">
        <f t="shared" si="8"/>
        <v>9851062.2845439985</v>
      </c>
      <c r="M13" s="2">
        <f t="shared" si="8"/>
        <v>10347555.823685018</v>
      </c>
      <c r="N13" s="2">
        <f t="shared" si="8"/>
        <v>10507287.685805801</v>
      </c>
      <c r="O13" s="2">
        <f t="shared" si="8"/>
        <v>10615066.222993517</v>
      </c>
      <c r="P13" s="2">
        <f t="shared" si="8"/>
        <v>10721347.014601212</v>
      </c>
      <c r="Q13" s="2">
        <f t="shared" si="8"/>
        <v>10828566.743350631</v>
      </c>
      <c r="R13" s="2">
        <f t="shared" si="8"/>
        <v>10936852.711793158</v>
      </c>
    </row>
    <row r="15" spans="1:18" x14ac:dyDescent="0.25">
      <c r="A15" s="2" t="s">
        <v>11</v>
      </c>
      <c r="G15" s="2" t="s">
        <v>48</v>
      </c>
      <c r="I15" s="2">
        <f>B21</f>
        <v>1000000</v>
      </c>
      <c r="J15" s="2">
        <f>I15*(1+$B$23)</f>
        <v>1020000</v>
      </c>
      <c r="K15" s="2">
        <f t="shared" ref="K15:R15" si="9">J15*(1+$B$23)</f>
        <v>1040400</v>
      </c>
      <c r="L15" s="2">
        <f t="shared" si="9"/>
        <v>1061208</v>
      </c>
      <c r="M15" s="2">
        <f t="shared" si="9"/>
        <v>1082432.1599999999</v>
      </c>
      <c r="N15" s="2">
        <f t="shared" si="9"/>
        <v>1104080.8032</v>
      </c>
      <c r="O15" s="2">
        <f t="shared" si="9"/>
        <v>1126162.4192639999</v>
      </c>
      <c r="P15" s="2">
        <f t="shared" si="9"/>
        <v>1148685.6676492798</v>
      </c>
      <c r="Q15" s="2">
        <f t="shared" si="9"/>
        <v>1171659.3810022655</v>
      </c>
      <c r="R15" s="2">
        <f t="shared" si="9"/>
        <v>1195092.5686223109</v>
      </c>
    </row>
    <row r="16" spans="1:18" x14ac:dyDescent="0.25">
      <c r="A16" s="2" t="s">
        <v>12</v>
      </c>
      <c r="B16" s="2">
        <v>1000000</v>
      </c>
      <c r="C16" s="2" t="s">
        <v>13</v>
      </c>
      <c r="G16" s="2" t="s">
        <v>49</v>
      </c>
      <c r="I16" s="2">
        <f>B22</f>
        <v>5</v>
      </c>
      <c r="J16" s="2">
        <f>I16*(1+$B$23)</f>
        <v>5.0999999999999996</v>
      </c>
      <c r="K16" s="2">
        <f t="shared" ref="K16:R16" si="10">J16*(1+$B$23)</f>
        <v>5.202</v>
      </c>
      <c r="L16" s="2">
        <f t="shared" si="10"/>
        <v>5.3060400000000003</v>
      </c>
      <c r="M16" s="2">
        <f t="shared" si="10"/>
        <v>5.4121608000000005</v>
      </c>
      <c r="N16" s="2">
        <f t="shared" si="10"/>
        <v>5.5204040160000005</v>
      </c>
      <c r="O16" s="2">
        <f t="shared" si="10"/>
        <v>5.6308120963200006</v>
      </c>
      <c r="P16" s="2">
        <f t="shared" si="10"/>
        <v>5.7434283382464004</v>
      </c>
      <c r="Q16" s="2">
        <f t="shared" si="10"/>
        <v>5.8582969050113283</v>
      </c>
      <c r="R16" s="2">
        <f t="shared" si="10"/>
        <v>5.9754628431115551</v>
      </c>
    </row>
    <row r="17" spans="1:18" x14ac:dyDescent="0.25">
      <c r="A17" s="2" t="s">
        <v>14</v>
      </c>
      <c r="B17" s="3">
        <v>0.5</v>
      </c>
      <c r="G17" s="2" t="s">
        <v>50</v>
      </c>
      <c r="I17" s="2">
        <f>I16*I8</f>
        <v>2500000</v>
      </c>
      <c r="J17" s="2">
        <f t="shared" ref="J17:R17" si="11">J16*J8</f>
        <v>3824999.9999999995</v>
      </c>
      <c r="K17" s="2">
        <f t="shared" si="11"/>
        <v>4829952.5825306121</v>
      </c>
      <c r="L17" s="2">
        <f t="shared" si="11"/>
        <v>5083043.6936448002</v>
      </c>
      <c r="M17" s="2">
        <f t="shared" si="11"/>
        <v>5392092.7502184054</v>
      </c>
      <c r="N17" s="2">
        <f t="shared" si="11"/>
        <v>5520404.0160000008</v>
      </c>
      <c r="O17" s="2">
        <f t="shared" si="11"/>
        <v>5630812.0963200005</v>
      </c>
      <c r="P17" s="2">
        <f t="shared" si="11"/>
        <v>5743428.3382464005</v>
      </c>
      <c r="Q17" s="2">
        <f t="shared" si="11"/>
        <v>5858296.9050113279</v>
      </c>
      <c r="R17" s="2">
        <f t="shared" si="11"/>
        <v>5975462.8431115551</v>
      </c>
    </row>
    <row r="18" spans="1:18" x14ac:dyDescent="0.25">
      <c r="A18" s="2" t="s">
        <v>15</v>
      </c>
      <c r="B18" s="3">
        <v>0.75</v>
      </c>
      <c r="G18" s="2" t="s">
        <v>51</v>
      </c>
      <c r="H18" s="2" t="s">
        <v>53</v>
      </c>
      <c r="I18" s="2">
        <f>I17+I15</f>
        <v>3500000</v>
      </c>
      <c r="J18" s="2">
        <f t="shared" ref="J18:R18" si="12">J17+J15</f>
        <v>4845000</v>
      </c>
      <c r="K18" s="2">
        <f t="shared" si="12"/>
        <v>5870352.5825306121</v>
      </c>
      <c r="L18" s="2">
        <f t="shared" si="12"/>
        <v>6144251.6936448002</v>
      </c>
      <c r="M18" s="2">
        <f t="shared" si="12"/>
        <v>6474524.9102184055</v>
      </c>
      <c r="N18" s="2">
        <f t="shared" si="12"/>
        <v>6624484.8192000007</v>
      </c>
      <c r="O18" s="2">
        <f t="shared" si="12"/>
        <v>6756974.5155840004</v>
      </c>
      <c r="P18" s="2">
        <f t="shared" si="12"/>
        <v>6892114.0058956798</v>
      </c>
      <c r="Q18" s="2">
        <f t="shared" si="12"/>
        <v>7029956.2860135939</v>
      </c>
      <c r="R18" s="2">
        <f t="shared" si="12"/>
        <v>7170555.4117338657</v>
      </c>
    </row>
    <row r="19" spans="1:18" x14ac:dyDescent="0.25">
      <c r="G19" s="2" t="s">
        <v>52</v>
      </c>
      <c r="I19" s="2">
        <f>I18/I8</f>
        <v>7</v>
      </c>
      <c r="J19" s="2">
        <f t="shared" ref="J19:R19" si="13">J18/J8</f>
        <v>6.46</v>
      </c>
      <c r="K19" s="2">
        <f t="shared" si="13"/>
        <v>6.3225411870036083</v>
      </c>
      <c r="L19" s="2">
        <f t="shared" si="13"/>
        <v>6.4138038587604633</v>
      </c>
      <c r="M19" s="2">
        <f t="shared" si="13"/>
        <v>6.498621507630455</v>
      </c>
      <c r="N19" s="2">
        <f t="shared" si="13"/>
        <v>6.624484819200001</v>
      </c>
      <c r="O19" s="2">
        <f t="shared" si="13"/>
        <v>6.756974515584</v>
      </c>
      <c r="P19" s="2">
        <f t="shared" si="13"/>
        <v>6.8921140058956798</v>
      </c>
      <c r="Q19" s="2">
        <f t="shared" si="13"/>
        <v>7.0299562860135936</v>
      </c>
      <c r="R19" s="2">
        <f t="shared" si="13"/>
        <v>7.1705554117338659</v>
      </c>
    </row>
    <row r="20" spans="1:18" x14ac:dyDescent="0.25">
      <c r="A20" s="2" t="s">
        <v>16</v>
      </c>
      <c r="G20" s="2" t="s">
        <v>54</v>
      </c>
      <c r="I20" s="2">
        <f>0+(I9-0)*I19</f>
        <v>3333333.333333333</v>
      </c>
      <c r="J20" s="2">
        <f>I24+(J9-I10)*J19</f>
        <v>4773628.117913832</v>
      </c>
      <c r="K20" s="2">
        <f t="shared" ref="K20:R20" si="14">J24+(K9-J10)*K19</f>
        <v>5817756.5579992644</v>
      </c>
      <c r="L20" s="2">
        <f t="shared" si="14"/>
        <v>6128263.3417183002</v>
      </c>
      <c r="M20" s="2">
        <f t="shared" si="14"/>
        <v>6458042.9454757683</v>
      </c>
      <c r="N20" s="2">
        <f t="shared" si="14"/>
        <v>6616454.1136422902</v>
      </c>
      <c r="O20" s="2">
        <f t="shared" si="14"/>
        <v>6750265.690951921</v>
      </c>
      <c r="P20" s="2">
        <f t="shared" si="14"/>
        <v>6885352.9348748988</v>
      </c>
      <c r="Q20" s="2">
        <f t="shared" si="14"/>
        <v>7023063.9730345877</v>
      </c>
      <c r="R20" s="2">
        <f t="shared" si="14"/>
        <v>7163525.4457834437</v>
      </c>
    </row>
    <row r="21" spans="1:18" x14ac:dyDescent="0.25">
      <c r="A21" s="2" t="s">
        <v>17</v>
      </c>
      <c r="B21" s="2">
        <v>1000000</v>
      </c>
      <c r="C21" s="2" t="s">
        <v>2</v>
      </c>
      <c r="G21" s="2" t="s">
        <v>21</v>
      </c>
      <c r="I21" s="2">
        <f>$B$24*I13</f>
        <v>95238.095238095222</v>
      </c>
      <c r="J21" s="2">
        <f t="shared" ref="J21:R21" si="15">$B$24*J13</f>
        <v>148866.21315192743</v>
      </c>
      <c r="K21" s="2">
        <f t="shared" si="15"/>
        <v>187567.82720000003</v>
      </c>
      <c r="L21" s="2">
        <f t="shared" si="15"/>
        <v>197021.24569087996</v>
      </c>
      <c r="M21" s="2">
        <f t="shared" si="15"/>
        <v>206951.11647370039</v>
      </c>
      <c r="N21" s="2">
        <f t="shared" si="15"/>
        <v>210145.75371611604</v>
      </c>
      <c r="O21" s="2">
        <f t="shared" si="15"/>
        <v>212301.32445987035</v>
      </c>
      <c r="P21" s="2">
        <f t="shared" si="15"/>
        <v>214426.94029202426</v>
      </c>
      <c r="Q21" s="2">
        <f t="shared" si="15"/>
        <v>216571.33486701263</v>
      </c>
      <c r="R21" s="2">
        <f t="shared" si="15"/>
        <v>218737.05423586318</v>
      </c>
    </row>
    <row r="22" spans="1:18" x14ac:dyDescent="0.25">
      <c r="A22" s="2" t="s">
        <v>18</v>
      </c>
      <c r="B22" s="2">
        <v>5</v>
      </c>
      <c r="C22" s="2" t="s">
        <v>19</v>
      </c>
    </row>
    <row r="23" spans="1:18" x14ac:dyDescent="0.25">
      <c r="A23" s="2" t="s">
        <v>20</v>
      </c>
      <c r="B23" s="3">
        <v>0.02</v>
      </c>
      <c r="G23" s="2" t="s">
        <v>23</v>
      </c>
    </row>
    <row r="24" spans="1:18" x14ac:dyDescent="0.25">
      <c r="A24" s="2" t="s">
        <v>21</v>
      </c>
      <c r="B24" s="3">
        <v>0.02</v>
      </c>
      <c r="C24" s="2" t="s">
        <v>22</v>
      </c>
      <c r="G24" s="2" t="s">
        <v>58</v>
      </c>
      <c r="I24" s="2">
        <f>I10*I19</f>
        <v>166666.66666666666</v>
      </c>
      <c r="J24" s="2">
        <f t="shared" ref="J24:R24" si="16">J10*J19</f>
        <v>238038.54875283447</v>
      </c>
      <c r="K24" s="2">
        <f t="shared" si="16"/>
        <v>290634.57328418188</v>
      </c>
      <c r="L24" s="2">
        <f t="shared" si="16"/>
        <v>306622.92521068105</v>
      </c>
      <c r="M24" s="2">
        <f t="shared" si="16"/>
        <v>323104.88995331776</v>
      </c>
      <c r="N24" s="2">
        <f t="shared" si="16"/>
        <v>331135.59551102744</v>
      </c>
      <c r="O24" s="2">
        <f t="shared" si="16"/>
        <v>337844.42014310707</v>
      </c>
      <c r="P24" s="2">
        <f t="shared" si="16"/>
        <v>344605.49116388801</v>
      </c>
      <c r="Q24" s="2">
        <f t="shared" si="16"/>
        <v>351497.80414289329</v>
      </c>
      <c r="R24" s="2">
        <f t="shared" si="16"/>
        <v>358527.77009331511</v>
      </c>
    </row>
    <row r="25" spans="1:18" x14ac:dyDescent="0.25">
      <c r="G25" s="2" t="s">
        <v>56</v>
      </c>
      <c r="I25" s="2">
        <f>$B$29*I17</f>
        <v>250000</v>
      </c>
      <c r="J25" s="2">
        <f t="shared" ref="J25:R25" si="17">$B$29*J17</f>
        <v>382500</v>
      </c>
      <c r="K25" s="2">
        <f t="shared" si="17"/>
        <v>482995.25825306121</v>
      </c>
      <c r="L25" s="2">
        <f t="shared" si="17"/>
        <v>508304.36936448002</v>
      </c>
      <c r="M25" s="2">
        <f t="shared" si="17"/>
        <v>539209.27502184059</v>
      </c>
      <c r="N25" s="2">
        <f t="shared" si="17"/>
        <v>552040.4016000001</v>
      </c>
      <c r="O25" s="2">
        <f t="shared" si="17"/>
        <v>563081.20963200007</v>
      </c>
      <c r="P25" s="2">
        <f t="shared" si="17"/>
        <v>574342.83382464002</v>
      </c>
      <c r="Q25" s="2">
        <f t="shared" si="17"/>
        <v>585829.69050113286</v>
      </c>
      <c r="R25" s="2">
        <f t="shared" si="17"/>
        <v>597546.28431115556</v>
      </c>
    </row>
    <row r="26" spans="1:18" x14ac:dyDescent="0.25">
      <c r="A26" s="2" t="s">
        <v>23</v>
      </c>
      <c r="G26" s="2" t="s">
        <v>57</v>
      </c>
      <c r="I26" s="2">
        <f>$B$28*I13</f>
        <v>476190.47619047615</v>
      </c>
      <c r="J26" s="2">
        <f t="shared" ref="J26:R26" si="18">$B$28*J13</f>
        <v>744331.06575963716</v>
      </c>
      <c r="K26" s="2">
        <f t="shared" si="18"/>
        <v>937839.13600000017</v>
      </c>
      <c r="L26" s="2">
        <f t="shared" si="18"/>
        <v>985106.22845439985</v>
      </c>
      <c r="M26" s="2">
        <f t="shared" si="18"/>
        <v>1034755.5823685019</v>
      </c>
      <c r="N26" s="2">
        <f t="shared" si="18"/>
        <v>1050728.7685805801</v>
      </c>
      <c r="O26" s="2">
        <f t="shared" si="18"/>
        <v>1061506.6222993517</v>
      </c>
      <c r="P26" s="2">
        <f t="shared" si="18"/>
        <v>1072134.7014601212</v>
      </c>
      <c r="Q26" s="2">
        <f t="shared" si="18"/>
        <v>1082856.6743350632</v>
      </c>
      <c r="R26" s="2">
        <f t="shared" si="18"/>
        <v>1093685.2711793159</v>
      </c>
    </row>
    <row r="27" spans="1:18" x14ac:dyDescent="0.25">
      <c r="A27" s="2" t="s">
        <v>24</v>
      </c>
      <c r="B27" s="3">
        <v>0.05</v>
      </c>
      <c r="C27" s="2" t="s">
        <v>22</v>
      </c>
      <c r="G27" s="2" t="s">
        <v>59</v>
      </c>
      <c r="I27" s="2">
        <f>I24+I26-I25</f>
        <v>392857.14285714284</v>
      </c>
      <c r="J27" s="2">
        <f t="shared" ref="J27:R27" si="19">J24+J26-J25</f>
        <v>599869.6145124716</v>
      </c>
      <c r="K27" s="2">
        <f t="shared" si="19"/>
        <v>745478.45103112096</v>
      </c>
      <c r="L27" s="2">
        <f t="shared" si="19"/>
        <v>783424.78430060088</v>
      </c>
      <c r="M27" s="2">
        <f t="shared" si="19"/>
        <v>818651.19729997916</v>
      </c>
      <c r="N27" s="2">
        <f t="shared" si="19"/>
        <v>829823.96249160741</v>
      </c>
      <c r="O27" s="2">
        <f t="shared" si="19"/>
        <v>836269.83281045861</v>
      </c>
      <c r="P27" s="2">
        <f t="shared" si="19"/>
        <v>842397.35879936919</v>
      </c>
      <c r="Q27" s="2">
        <f t="shared" si="19"/>
        <v>848524.78797682363</v>
      </c>
      <c r="R27" s="2">
        <f t="shared" si="19"/>
        <v>854666.75696147536</v>
      </c>
    </row>
    <row r="28" spans="1:18" x14ac:dyDescent="0.25">
      <c r="A28" s="2" t="s">
        <v>25</v>
      </c>
      <c r="B28" s="3">
        <v>0.1</v>
      </c>
      <c r="C28" s="2" t="s">
        <v>22</v>
      </c>
      <c r="G28" s="2" t="s">
        <v>60</v>
      </c>
      <c r="I28" s="2">
        <f>I27</f>
        <v>392857.14285714284</v>
      </c>
      <c r="J28" s="2">
        <f>J27-I27</f>
        <v>207012.47165532876</v>
      </c>
      <c r="K28" s="2">
        <f t="shared" ref="K28:R28" si="20">K27-J27</f>
        <v>145608.83651864936</v>
      </c>
      <c r="L28" s="2">
        <f t="shared" si="20"/>
        <v>37946.333269479917</v>
      </c>
      <c r="M28" s="2">
        <f t="shared" si="20"/>
        <v>35226.412999378284</v>
      </c>
      <c r="N28" s="2">
        <f t="shared" si="20"/>
        <v>11172.765191628248</v>
      </c>
      <c r="O28" s="2">
        <f t="shared" si="20"/>
        <v>6445.8703188512009</v>
      </c>
      <c r="P28" s="2">
        <f t="shared" si="20"/>
        <v>6127.5259889105801</v>
      </c>
      <c r="Q28" s="2">
        <f t="shared" si="20"/>
        <v>6127.4291774544399</v>
      </c>
      <c r="R28" s="2">
        <f t="shared" si="20"/>
        <v>6141.9689846517285</v>
      </c>
    </row>
    <row r="29" spans="1:18" x14ac:dyDescent="0.25">
      <c r="A29" s="2" t="s">
        <v>26</v>
      </c>
      <c r="B29" s="3">
        <v>0.1</v>
      </c>
      <c r="C29" s="2" t="s">
        <v>27</v>
      </c>
    </row>
    <row r="30" spans="1:18" x14ac:dyDescent="0.25">
      <c r="G30" s="2" t="s">
        <v>61</v>
      </c>
    </row>
    <row r="31" spans="1:18" x14ac:dyDescent="0.25">
      <c r="A31" s="2" t="s">
        <v>28</v>
      </c>
      <c r="G31" s="2" t="s">
        <v>3</v>
      </c>
      <c r="H31" s="2">
        <f>B4</f>
        <v>1200000</v>
      </c>
    </row>
    <row r="32" spans="1:18" x14ac:dyDescent="0.25">
      <c r="A32" s="2" t="s">
        <v>29</v>
      </c>
      <c r="B32" s="2">
        <v>850000</v>
      </c>
      <c r="C32" s="2" t="s">
        <v>13</v>
      </c>
      <c r="G32" s="2" t="s">
        <v>4</v>
      </c>
      <c r="H32" s="2">
        <f>B5</f>
        <v>4800000</v>
      </c>
    </row>
    <row r="33" spans="1:18" x14ac:dyDescent="0.25">
      <c r="A33" s="2" t="s">
        <v>30</v>
      </c>
      <c r="B33" s="3">
        <v>0.04</v>
      </c>
      <c r="G33" s="2" t="s">
        <v>62</v>
      </c>
      <c r="H33" s="2">
        <f>B8</f>
        <v>1500000</v>
      </c>
    </row>
    <row r="34" spans="1:18" x14ac:dyDescent="0.25">
      <c r="A34" s="2" t="s">
        <v>32</v>
      </c>
      <c r="B34" s="2">
        <v>10</v>
      </c>
      <c r="C34" s="2" t="s">
        <v>2</v>
      </c>
      <c r="G34" s="2" t="s">
        <v>63</v>
      </c>
      <c r="H34" s="2" t="s">
        <v>53</v>
      </c>
      <c r="I34" s="2">
        <f>B9</f>
        <v>1000000</v>
      </c>
    </row>
    <row r="35" spans="1:18" x14ac:dyDescent="0.25">
      <c r="A35" s="2" t="s">
        <v>30</v>
      </c>
      <c r="B35" s="3">
        <v>0.01</v>
      </c>
    </row>
    <row r="36" spans="1:18" x14ac:dyDescent="0.25">
      <c r="G36" s="2" t="s">
        <v>64</v>
      </c>
    </row>
    <row r="37" spans="1:18" x14ac:dyDescent="0.25">
      <c r="A37" s="2" t="s">
        <v>33</v>
      </c>
      <c r="G37" s="2" t="s">
        <v>4</v>
      </c>
      <c r="I37" s="2">
        <f>H32/$B$12</f>
        <v>123076.92307692308</v>
      </c>
      <c r="J37" s="2">
        <f>I37</f>
        <v>123076.92307692308</v>
      </c>
      <c r="K37" s="2">
        <f t="shared" ref="K37:R37" si="21">J37</f>
        <v>123076.92307692308</v>
      </c>
      <c r="L37" s="2">
        <f t="shared" si="21"/>
        <v>123076.92307692308</v>
      </c>
      <c r="M37" s="2">
        <f t="shared" si="21"/>
        <v>123076.92307692308</v>
      </c>
      <c r="N37" s="2">
        <f t="shared" si="21"/>
        <v>123076.92307692308</v>
      </c>
      <c r="O37" s="2">
        <f t="shared" si="21"/>
        <v>123076.92307692308</v>
      </c>
      <c r="P37" s="2">
        <f t="shared" si="21"/>
        <v>123076.92307692308</v>
      </c>
      <c r="Q37" s="2">
        <f t="shared" si="21"/>
        <v>123076.92307692308</v>
      </c>
      <c r="R37" s="2">
        <f t="shared" si="21"/>
        <v>123076.92307692308</v>
      </c>
    </row>
    <row r="38" spans="1:18" x14ac:dyDescent="0.25">
      <c r="A38" s="2" t="s">
        <v>34</v>
      </c>
      <c r="B38" s="2">
        <v>6500000</v>
      </c>
      <c r="C38" s="2" t="s">
        <v>2</v>
      </c>
      <c r="G38" s="2" t="s">
        <v>62</v>
      </c>
      <c r="I38" s="2">
        <f>H33/$B$13</f>
        <v>125000</v>
      </c>
      <c r="J38" s="2">
        <f>I38</f>
        <v>125000</v>
      </c>
      <c r="K38" s="2">
        <f t="shared" ref="K38:R38" si="22">J38</f>
        <v>125000</v>
      </c>
      <c r="L38" s="2">
        <f t="shared" si="22"/>
        <v>125000</v>
      </c>
      <c r="M38" s="2">
        <f t="shared" si="22"/>
        <v>125000</v>
      </c>
      <c r="N38" s="2">
        <f t="shared" si="22"/>
        <v>125000</v>
      </c>
      <c r="O38" s="2">
        <f t="shared" si="22"/>
        <v>125000</v>
      </c>
      <c r="P38" s="2">
        <f t="shared" si="22"/>
        <v>125000</v>
      </c>
      <c r="Q38" s="2">
        <f t="shared" si="22"/>
        <v>125000</v>
      </c>
      <c r="R38" s="2">
        <f t="shared" si="22"/>
        <v>125000</v>
      </c>
    </row>
    <row r="39" spans="1:18" x14ac:dyDescent="0.25">
      <c r="A39" s="2" t="s">
        <v>10</v>
      </c>
      <c r="B39" s="2" t="s">
        <v>35</v>
      </c>
      <c r="G39" s="2" t="s">
        <v>63</v>
      </c>
      <c r="J39" s="2">
        <f>I34/$B$13</f>
        <v>83333.333333333328</v>
      </c>
      <c r="K39" s="2">
        <f>J39</f>
        <v>83333.333333333328</v>
      </c>
      <c r="L39" s="2">
        <f t="shared" ref="L39:R39" si="23">K39</f>
        <v>83333.333333333328</v>
      </c>
      <c r="M39" s="2">
        <f t="shared" si="23"/>
        <v>83333.333333333328</v>
      </c>
      <c r="N39" s="2">
        <f t="shared" si="23"/>
        <v>83333.333333333328</v>
      </c>
      <c r="O39" s="2">
        <f t="shared" si="23"/>
        <v>83333.333333333328</v>
      </c>
      <c r="P39" s="2">
        <f t="shared" si="23"/>
        <v>83333.333333333328</v>
      </c>
      <c r="Q39" s="2">
        <f t="shared" si="23"/>
        <v>83333.333333333328</v>
      </c>
      <c r="R39" s="2">
        <f t="shared" si="23"/>
        <v>83333.333333333328</v>
      </c>
    </row>
    <row r="40" spans="1:18" x14ac:dyDescent="0.25">
      <c r="A40" s="2" t="s">
        <v>36</v>
      </c>
      <c r="B40" s="2" t="s">
        <v>37</v>
      </c>
    </row>
    <row r="41" spans="1:18" x14ac:dyDescent="0.25">
      <c r="A41" s="2" t="s">
        <v>38</v>
      </c>
      <c r="B41" s="2" t="s">
        <v>35</v>
      </c>
      <c r="G41" s="2" t="s">
        <v>65</v>
      </c>
      <c r="I41" s="2">
        <f>I13-I20-I21-SUM(I37:I39)</f>
        <v>1085256.41025641</v>
      </c>
      <c r="J41" s="2">
        <f t="shared" ref="J41:R41" si="24">J13-J20-J21-SUM(J37:J39)</f>
        <v>2189406.0701203551</v>
      </c>
      <c r="K41" s="2">
        <f t="shared" si="24"/>
        <v>3041656.7183904801</v>
      </c>
      <c r="L41" s="2">
        <f t="shared" si="24"/>
        <v>3194367.4407245619</v>
      </c>
      <c r="M41" s="2">
        <f t="shared" si="24"/>
        <v>3351151.5053252932</v>
      </c>
      <c r="N41" s="2">
        <f t="shared" si="24"/>
        <v>3349277.5620371387</v>
      </c>
      <c r="O41" s="2">
        <f t="shared" si="24"/>
        <v>3321088.9511714694</v>
      </c>
      <c r="P41" s="2">
        <f t="shared" si="24"/>
        <v>3290156.8830240327</v>
      </c>
      <c r="Q41" s="2">
        <f t="shared" si="24"/>
        <v>3257521.1790387738</v>
      </c>
      <c r="R41" s="2">
        <f t="shared" si="24"/>
        <v>3223179.9553635949</v>
      </c>
    </row>
    <row r="42" spans="1:18" x14ac:dyDescent="0.25">
      <c r="G42" s="2" t="s">
        <v>66</v>
      </c>
      <c r="I42" s="2">
        <f>I41*$B$44</f>
        <v>379839.74358974351</v>
      </c>
      <c r="J42" s="2">
        <f t="shared" ref="J42:R42" si="25">J41*$B$44</f>
        <v>766292.12454212422</v>
      </c>
      <c r="K42" s="2">
        <f t="shared" si="25"/>
        <v>1064579.8514366681</v>
      </c>
      <c r="L42" s="2">
        <f t="shared" si="25"/>
        <v>1118028.6042535966</v>
      </c>
      <c r="M42" s="2">
        <f t="shared" si="25"/>
        <v>1172903.0268638525</v>
      </c>
      <c r="N42" s="2">
        <f t="shared" si="25"/>
        <v>1172247.1467129984</v>
      </c>
      <c r="O42" s="2">
        <f t="shared" si="25"/>
        <v>1162381.1329100141</v>
      </c>
      <c r="P42" s="2">
        <f t="shared" si="25"/>
        <v>1151554.9090584114</v>
      </c>
      <c r="Q42" s="2">
        <f t="shared" si="25"/>
        <v>1140132.4126635708</v>
      </c>
      <c r="R42" s="2">
        <f t="shared" si="25"/>
        <v>1128112.9843772582</v>
      </c>
    </row>
    <row r="43" spans="1:18" x14ac:dyDescent="0.25">
      <c r="A43" s="2" t="s">
        <v>67</v>
      </c>
    </row>
    <row r="44" spans="1:18" x14ac:dyDescent="0.25">
      <c r="A44" s="2" t="s">
        <v>68</v>
      </c>
      <c r="B44" s="3">
        <v>0.35</v>
      </c>
      <c r="G44" s="2" t="s">
        <v>76</v>
      </c>
      <c r="R44" s="2">
        <f>$B$38</f>
        <v>6500000</v>
      </c>
    </row>
    <row r="45" spans="1:18" x14ac:dyDescent="0.25">
      <c r="A45" s="2" t="s">
        <v>69</v>
      </c>
      <c r="B45" s="3">
        <v>0.15</v>
      </c>
      <c r="G45" s="2" t="s">
        <v>77</v>
      </c>
      <c r="R45" s="2">
        <f>$B$3</f>
        <v>6000000</v>
      </c>
    </row>
    <row r="46" spans="1:18" x14ac:dyDescent="0.25">
      <c r="A46" s="2" t="s">
        <v>70</v>
      </c>
      <c r="B46" s="3">
        <v>0.25</v>
      </c>
      <c r="G46" s="2" t="s">
        <v>78</v>
      </c>
      <c r="R46" s="2">
        <f>SUM(I37:R37)</f>
        <v>1230769.2307692308</v>
      </c>
    </row>
    <row r="47" spans="1:18" x14ac:dyDescent="0.25">
      <c r="G47" s="2" t="s">
        <v>79</v>
      </c>
      <c r="R47" s="2">
        <f>(R44-R45)*$B$45+R46*$B$46</f>
        <v>382692.30769230769</v>
      </c>
    </row>
    <row r="48" spans="1:18" x14ac:dyDescent="0.25">
      <c r="A48" s="2" t="s">
        <v>71</v>
      </c>
      <c r="G48" s="2" t="s">
        <v>80</v>
      </c>
      <c r="R48" s="2">
        <f>R44-R47</f>
        <v>6117307.692307692</v>
      </c>
    </row>
    <row r="49" spans="1:18" x14ac:dyDescent="0.25">
      <c r="A49" s="2" t="s">
        <v>72</v>
      </c>
      <c r="B49" s="3">
        <v>0.5</v>
      </c>
    </row>
    <row r="50" spans="1:18" x14ac:dyDescent="0.25">
      <c r="A50" s="2" t="s">
        <v>73</v>
      </c>
      <c r="B50" s="3">
        <v>7.0000000000000007E-2</v>
      </c>
      <c r="G50" s="2" t="s">
        <v>81</v>
      </c>
      <c r="R50" s="2">
        <f>(H33+I34)-SUM(I38:R39)</f>
        <v>500000.0000000007</v>
      </c>
    </row>
    <row r="51" spans="1:18" x14ac:dyDescent="0.25">
      <c r="A51" s="2" t="s">
        <v>74</v>
      </c>
      <c r="B51" s="3">
        <v>0.5</v>
      </c>
      <c r="G51" s="2" t="s">
        <v>79</v>
      </c>
      <c r="R51" s="2">
        <v>0</v>
      </c>
    </row>
    <row r="52" spans="1:18" x14ac:dyDescent="0.25">
      <c r="A52" s="2" t="s">
        <v>75</v>
      </c>
      <c r="B52" s="3">
        <v>0.15</v>
      </c>
      <c r="G52" s="2" t="s">
        <v>82</v>
      </c>
      <c r="R52" s="2">
        <f>R50-R51</f>
        <v>500000.0000000007</v>
      </c>
    </row>
    <row r="53" spans="1:18" x14ac:dyDescent="0.25">
      <c r="A53" s="2" t="s">
        <v>71</v>
      </c>
      <c r="B53" s="6">
        <f>B49*B50*(1-B44)+B51*B52</f>
        <v>9.7750000000000004E-2</v>
      </c>
    </row>
    <row r="54" spans="1:18" x14ac:dyDescent="0.25">
      <c r="G54" s="2" t="s">
        <v>55</v>
      </c>
      <c r="R54" s="2">
        <f>R10*R12</f>
        <v>546842.63558965793</v>
      </c>
    </row>
    <row r="55" spans="1:18" x14ac:dyDescent="0.25">
      <c r="G55" s="2" t="s">
        <v>83</v>
      </c>
      <c r="R55" s="2">
        <f>R10*R19</f>
        <v>358527.77009331511</v>
      </c>
    </row>
    <row r="56" spans="1:18" x14ac:dyDescent="0.25">
      <c r="G56" s="2" t="s">
        <v>79</v>
      </c>
      <c r="R56" s="2">
        <f>(R54-R55)*$B$44</f>
        <v>65910.202923719989</v>
      </c>
    </row>
    <row r="57" spans="1:18" x14ac:dyDescent="0.25">
      <c r="G57" s="2" t="s">
        <v>84</v>
      </c>
      <c r="R57" s="2">
        <f>R54-R56</f>
        <v>480932.43266593793</v>
      </c>
    </row>
    <row r="59" spans="1:18" x14ac:dyDescent="0.25">
      <c r="G59" s="2" t="s">
        <v>85</v>
      </c>
      <c r="R59" s="2">
        <f>R26-R25</f>
        <v>496138.98686816031</v>
      </c>
    </row>
    <row r="60" spans="1:18" x14ac:dyDescent="0.25">
      <c r="G60" s="2" t="s">
        <v>79</v>
      </c>
      <c r="R60" s="2">
        <v>0</v>
      </c>
    </row>
    <row r="61" spans="1:18" x14ac:dyDescent="0.25">
      <c r="G61" s="2" t="s">
        <v>86</v>
      </c>
      <c r="R61" s="2">
        <f>R59-R60</f>
        <v>496138.98686816031</v>
      </c>
    </row>
    <row r="63" spans="1:18" x14ac:dyDescent="0.25">
      <c r="G63" s="2" t="s">
        <v>87</v>
      </c>
      <c r="I63" s="2">
        <f>I41-I42+SUM(I37:I39)-I28-I34</f>
        <v>-439363.55311355332</v>
      </c>
      <c r="J63" s="2">
        <f t="shared" ref="J63:R63" si="26">J41-J42+SUM(J37:J39)-J28-J34</f>
        <v>1547511.7303331587</v>
      </c>
      <c r="K63" s="2">
        <f t="shared" si="26"/>
        <v>2162878.2868454191</v>
      </c>
      <c r="L63" s="2">
        <f t="shared" si="26"/>
        <v>2369802.7596117416</v>
      </c>
      <c r="M63" s="2">
        <f t="shared" si="26"/>
        <v>2474432.3218723191</v>
      </c>
      <c r="N63" s="2">
        <f t="shared" si="26"/>
        <v>2497267.9065427687</v>
      </c>
      <c r="O63" s="2">
        <f t="shared" si="26"/>
        <v>2483672.2043528603</v>
      </c>
      <c r="P63" s="2">
        <f t="shared" si="26"/>
        <v>2463884.7043869672</v>
      </c>
      <c r="Q63" s="2">
        <f t="shared" si="26"/>
        <v>2442671.593608005</v>
      </c>
      <c r="R63" s="2">
        <f t="shared" si="26"/>
        <v>2420335.2584119411</v>
      </c>
    </row>
    <row r="64" spans="1:18" x14ac:dyDescent="0.25">
      <c r="G64" s="2" t="s">
        <v>88</v>
      </c>
      <c r="R64" s="2">
        <f>R61+R57+R52+R48</f>
        <v>7594379.1118417904</v>
      </c>
    </row>
    <row r="65" spans="7:18" x14ac:dyDescent="0.25">
      <c r="G65" s="2" t="s">
        <v>89</v>
      </c>
      <c r="H65" s="2">
        <f>-SUM(H31:H33)</f>
        <v>-7500000</v>
      </c>
      <c r="I65" s="2">
        <f>SUM(I63:I64)</f>
        <v>-439363.55311355332</v>
      </c>
      <c r="J65" s="2">
        <f t="shared" ref="J65:R65" si="27">SUM(J63:J64)</f>
        <v>1547511.7303331587</v>
      </c>
      <c r="K65" s="2">
        <f t="shared" si="27"/>
        <v>2162878.2868454191</v>
      </c>
      <c r="L65" s="2">
        <f t="shared" si="27"/>
        <v>2369802.7596117416</v>
      </c>
      <c r="M65" s="2">
        <f t="shared" si="27"/>
        <v>2474432.3218723191</v>
      </c>
      <c r="N65" s="2">
        <f t="shared" si="27"/>
        <v>2497267.9065427687</v>
      </c>
      <c r="O65" s="2">
        <f t="shared" si="27"/>
        <v>2483672.2043528603</v>
      </c>
      <c r="P65" s="2">
        <f t="shared" si="27"/>
        <v>2463884.7043869672</v>
      </c>
      <c r="Q65" s="2">
        <f t="shared" si="27"/>
        <v>2442671.593608005</v>
      </c>
      <c r="R65" s="2">
        <f t="shared" si="27"/>
        <v>10014714.370253731</v>
      </c>
    </row>
    <row r="67" spans="7:18" x14ac:dyDescent="0.25">
      <c r="G67" s="2" t="s">
        <v>90</v>
      </c>
      <c r="H67" s="2">
        <f>NPV($B$53,I65:R65)+H65</f>
        <v>7087678.2452782169</v>
      </c>
    </row>
    <row r="69" spans="7:18" x14ac:dyDescent="0.25"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7:18" x14ac:dyDescent="0.25">
      <c r="G70" s="15" t="s">
        <v>148</v>
      </c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7:18" x14ac:dyDescent="0.25">
      <c r="G71" s="15" t="s">
        <v>152</v>
      </c>
      <c r="H71" s="15">
        <f>$B$49*($B$3+$B$8)</f>
        <v>3750000</v>
      </c>
      <c r="I71" s="15">
        <f>H71+I72-I73+$B$49*$B$9</f>
        <v>4250000</v>
      </c>
      <c r="J71" s="15">
        <f>I71+J72-J73</f>
        <v>4250000</v>
      </c>
      <c r="K71" s="15">
        <f t="shared" ref="K71:R71" si="28">J71+K72-K73</f>
        <v>4250000</v>
      </c>
      <c r="L71" s="15">
        <f t="shared" si="28"/>
        <v>4250000</v>
      </c>
      <c r="M71" s="15">
        <f t="shared" si="28"/>
        <v>4250000</v>
      </c>
      <c r="N71" s="15">
        <f t="shared" si="28"/>
        <v>4250000</v>
      </c>
      <c r="O71" s="15">
        <f t="shared" si="28"/>
        <v>4250000</v>
      </c>
      <c r="P71" s="15">
        <f t="shared" si="28"/>
        <v>4250000</v>
      </c>
      <c r="Q71" s="15">
        <f t="shared" si="28"/>
        <v>4250000</v>
      </c>
      <c r="R71" s="15">
        <f t="shared" si="28"/>
        <v>4250000</v>
      </c>
    </row>
    <row r="72" spans="7:18" x14ac:dyDescent="0.25">
      <c r="G72" s="15" t="s">
        <v>108</v>
      </c>
      <c r="H72" s="15"/>
      <c r="I72" s="15">
        <f>H71*$B$50</f>
        <v>262500</v>
      </c>
      <c r="J72" s="15">
        <f t="shared" ref="J72:R72" si="29">I71*$B$50</f>
        <v>297500</v>
      </c>
      <c r="K72" s="15">
        <f t="shared" si="29"/>
        <v>297500</v>
      </c>
      <c r="L72" s="15">
        <f t="shared" si="29"/>
        <v>297500</v>
      </c>
      <c r="M72" s="15">
        <f t="shared" si="29"/>
        <v>297500</v>
      </c>
      <c r="N72" s="15">
        <f t="shared" si="29"/>
        <v>297500</v>
      </c>
      <c r="O72" s="15">
        <f t="shared" si="29"/>
        <v>297500</v>
      </c>
      <c r="P72" s="15">
        <f t="shared" si="29"/>
        <v>297500</v>
      </c>
      <c r="Q72" s="15">
        <f t="shared" si="29"/>
        <v>297500</v>
      </c>
      <c r="R72" s="15">
        <f t="shared" si="29"/>
        <v>297500</v>
      </c>
    </row>
    <row r="73" spans="7:18" x14ac:dyDescent="0.25">
      <c r="G73" s="15" t="s">
        <v>153</v>
      </c>
      <c r="H73" s="15"/>
      <c r="I73" s="15">
        <f>I72</f>
        <v>262500</v>
      </c>
      <c r="J73" s="15">
        <f t="shared" ref="J73:R73" si="30">J72</f>
        <v>297500</v>
      </c>
      <c r="K73" s="15">
        <f t="shared" si="30"/>
        <v>297500</v>
      </c>
      <c r="L73" s="15">
        <f t="shared" si="30"/>
        <v>297500</v>
      </c>
      <c r="M73" s="15">
        <f t="shared" si="30"/>
        <v>297500</v>
      </c>
      <c r="N73" s="15">
        <f t="shared" si="30"/>
        <v>297500</v>
      </c>
      <c r="O73" s="15">
        <f t="shared" si="30"/>
        <v>297500</v>
      </c>
      <c r="P73" s="15">
        <f t="shared" si="30"/>
        <v>297500</v>
      </c>
      <c r="Q73" s="15">
        <f t="shared" si="30"/>
        <v>297500</v>
      </c>
      <c r="R73" s="15">
        <f t="shared" si="30"/>
        <v>297500</v>
      </c>
    </row>
    <row r="74" spans="7:18" x14ac:dyDescent="0.25"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7:18" x14ac:dyDescent="0.25">
      <c r="G75" s="15" t="s">
        <v>121</v>
      </c>
      <c r="H75" s="15">
        <f>H65+H71</f>
        <v>-3750000</v>
      </c>
      <c r="I75" s="15">
        <f>I65-I72*(1-$B$44)+I71-H71</f>
        <v>-109988.55311355321</v>
      </c>
      <c r="J75" s="15">
        <f t="shared" ref="J75:Q75" si="31">J65-J72*(1-$B$44)+J71-I71</f>
        <v>1354136.7303331587</v>
      </c>
      <c r="K75" s="15">
        <f t="shared" si="31"/>
        <v>1969503.2868454196</v>
      </c>
      <c r="L75" s="15">
        <f t="shared" si="31"/>
        <v>2176427.7596117416</v>
      </c>
      <c r="M75" s="15">
        <f t="shared" si="31"/>
        <v>2281057.3218723191</v>
      </c>
      <c r="N75" s="15">
        <f t="shared" si="31"/>
        <v>2303892.9065427687</v>
      </c>
      <c r="O75" s="15">
        <f t="shared" si="31"/>
        <v>2290297.2043528603</v>
      </c>
      <c r="P75" s="15">
        <f t="shared" si="31"/>
        <v>2270509.7043869672</v>
      </c>
      <c r="Q75" s="15">
        <f t="shared" si="31"/>
        <v>2249296.593608005</v>
      </c>
      <c r="R75" s="15">
        <f>R65-R72*(1-$B$44)+R71-Q71-R71</f>
        <v>5571339.3702537306</v>
      </c>
    </row>
    <row r="76" spans="7:18" x14ac:dyDescent="0.25"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7:18" x14ac:dyDescent="0.25">
      <c r="G77" s="15" t="s">
        <v>149</v>
      </c>
      <c r="H77" s="15">
        <f>NPV($B$52,I75:R75)+H75</f>
        <v>5467546.384804152</v>
      </c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7:18" x14ac:dyDescent="0.25"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7:18" x14ac:dyDescent="0.25"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</sheetData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opLeftCell="F1" zoomScale="160" zoomScaleNormal="160" workbookViewId="0">
      <selection activeCell="I12" sqref="I12"/>
    </sheetView>
  </sheetViews>
  <sheetFormatPr defaultRowHeight="15" x14ac:dyDescent="0.25"/>
  <cols>
    <col min="1" max="1" width="14.140625" customWidth="1"/>
    <col min="2" max="2" width="9.42578125" bestFit="1" customWidth="1"/>
    <col min="3" max="3" width="9.42578125" style="9" customWidth="1"/>
    <col min="5" max="5" width="28.140625" bestFit="1" customWidth="1"/>
    <col min="6" max="6" width="17.28515625" bestFit="1" customWidth="1"/>
    <col min="7" max="7" width="14.28515625" customWidth="1"/>
    <col min="8" max="8" width="13.42578125" customWidth="1"/>
    <col min="9" max="9" width="13.85546875" customWidth="1"/>
    <col min="10" max="11" width="13.140625" bestFit="1" customWidth="1"/>
    <col min="12" max="16" width="12.7109375" bestFit="1" customWidth="1"/>
  </cols>
  <sheetData>
    <row r="1" spans="1:16" x14ac:dyDescent="0.25">
      <c r="A1" s="10" t="s">
        <v>0</v>
      </c>
      <c r="B1" s="9"/>
      <c r="D1" s="9"/>
      <c r="E1" s="13" t="s">
        <v>39</v>
      </c>
      <c r="F1" s="13">
        <v>0</v>
      </c>
      <c r="G1" s="13">
        <v>1</v>
      </c>
      <c r="H1" s="13">
        <v>2</v>
      </c>
      <c r="I1" s="13">
        <v>3</v>
      </c>
      <c r="J1" s="13">
        <v>4</v>
      </c>
      <c r="K1" s="13">
        <v>5</v>
      </c>
      <c r="L1" s="13">
        <v>6</v>
      </c>
      <c r="M1" s="13">
        <v>7</v>
      </c>
      <c r="N1" s="13">
        <v>8</v>
      </c>
      <c r="O1" s="13">
        <v>9</v>
      </c>
      <c r="P1" s="13">
        <v>10</v>
      </c>
    </row>
    <row r="2" spans="1:16" x14ac:dyDescent="0.25">
      <c r="A2" s="9" t="s">
        <v>94</v>
      </c>
      <c r="B2" s="11">
        <v>1200000</v>
      </c>
      <c r="C2" s="11" t="s">
        <v>2</v>
      </c>
      <c r="D2" s="9"/>
      <c r="E2" s="9" t="s">
        <v>91</v>
      </c>
      <c r="F2" s="11"/>
      <c r="G2" s="15">
        <f>-$B$2</f>
        <v>-1200000</v>
      </c>
      <c r="H2" s="15">
        <f>G2</f>
        <v>-1200000</v>
      </c>
      <c r="I2" s="15">
        <f t="shared" ref="I2:P2" si="0">H2</f>
        <v>-1200000</v>
      </c>
      <c r="J2" s="15">
        <f t="shared" si="0"/>
        <v>-1200000</v>
      </c>
      <c r="K2" s="15">
        <f t="shared" si="0"/>
        <v>-1200000</v>
      </c>
      <c r="L2" s="15">
        <f t="shared" si="0"/>
        <v>-1200000</v>
      </c>
      <c r="M2" s="15">
        <f t="shared" si="0"/>
        <v>-1200000</v>
      </c>
      <c r="N2" s="15">
        <f t="shared" si="0"/>
        <v>-1200000</v>
      </c>
      <c r="O2" s="15">
        <f t="shared" si="0"/>
        <v>-1200000</v>
      </c>
      <c r="P2" s="15">
        <f t="shared" si="0"/>
        <v>-1200000</v>
      </c>
    </row>
    <row r="3" spans="1:16" x14ac:dyDescent="0.25">
      <c r="A3" s="9" t="s">
        <v>95</v>
      </c>
      <c r="B3" s="11">
        <v>1000000</v>
      </c>
      <c r="C3" s="11" t="s">
        <v>2</v>
      </c>
      <c r="D3" s="9"/>
      <c r="E3" s="9" t="s">
        <v>92</v>
      </c>
      <c r="F3" s="9"/>
      <c r="G3" s="15">
        <f>-G2*'Plastic injection case'!$B$44</f>
        <v>420000</v>
      </c>
      <c r="H3" s="15">
        <f>-H2*'Plastic injection case'!$B$44</f>
        <v>420000</v>
      </c>
      <c r="I3" s="15">
        <f>-I2*'Plastic injection case'!$B$44</f>
        <v>420000</v>
      </c>
      <c r="J3" s="15">
        <f>-J2*'Plastic injection case'!$B$44</f>
        <v>420000</v>
      </c>
      <c r="K3" s="15">
        <f>-K2*'Plastic injection case'!$B$44</f>
        <v>420000</v>
      </c>
      <c r="L3" s="15">
        <f>-L2*'Plastic injection case'!$B$44</f>
        <v>420000</v>
      </c>
      <c r="M3" s="15">
        <f>-M2*'Plastic injection case'!$B$44</f>
        <v>420000</v>
      </c>
      <c r="N3" s="15">
        <f>-N2*'Plastic injection case'!$B$44</f>
        <v>420000</v>
      </c>
      <c r="O3" s="15">
        <f>-O2*'Plastic injection case'!$B$44</f>
        <v>420000</v>
      </c>
      <c r="P3" s="15">
        <f>-P2*'Plastic injection case'!$B$44</f>
        <v>420000</v>
      </c>
    </row>
    <row r="4" spans="1:16" x14ac:dyDescent="0.25">
      <c r="A4" s="9" t="s">
        <v>96</v>
      </c>
      <c r="B4" s="9">
        <v>10</v>
      </c>
      <c r="C4" s="9" t="s">
        <v>9</v>
      </c>
      <c r="D4" s="9"/>
      <c r="E4" s="9" t="s">
        <v>151</v>
      </c>
      <c r="F4" s="9"/>
      <c r="G4" s="15">
        <f>-'Plastic injection case'!I37*'Plastic injection case'!$B$44</f>
        <v>-43076.923076923078</v>
      </c>
      <c r="H4" s="15">
        <f>-'Plastic injection case'!J37*'Plastic injection case'!$B$44</f>
        <v>-43076.923076923078</v>
      </c>
      <c r="I4" s="15">
        <f>-'Plastic injection case'!K37*'Plastic injection case'!$B$44</f>
        <v>-43076.923076923078</v>
      </c>
      <c r="J4" s="15">
        <f>-'Plastic injection case'!L37*'Plastic injection case'!$B$44</f>
        <v>-43076.923076923078</v>
      </c>
      <c r="K4" s="15">
        <f>-'Plastic injection case'!M37*'Plastic injection case'!$B$44</f>
        <v>-43076.923076923078</v>
      </c>
      <c r="L4" s="15">
        <f>-'Plastic injection case'!N37*'Plastic injection case'!$B$44</f>
        <v>-43076.923076923078</v>
      </c>
      <c r="M4" s="15">
        <f>-'Plastic injection case'!O37*'Plastic injection case'!$B$44</f>
        <v>-43076.923076923078</v>
      </c>
      <c r="N4" s="15">
        <f>-'Plastic injection case'!P37*'Plastic injection case'!$B$44</f>
        <v>-43076.923076923078</v>
      </c>
      <c r="O4" s="15">
        <f>-'Plastic injection case'!Q37*'Plastic injection case'!$B$44</f>
        <v>-43076.923076923078</v>
      </c>
      <c r="P4" s="15">
        <f>-'Plastic injection case'!R37*'Plastic injection case'!$B$44</f>
        <v>-43076.923076923078</v>
      </c>
    </row>
    <row r="5" spans="1:16" x14ac:dyDescent="0.25">
      <c r="A5" s="9" t="s">
        <v>98</v>
      </c>
      <c r="B5" s="16">
        <v>0.06</v>
      </c>
      <c r="D5" s="9"/>
      <c r="E5" s="9" t="s">
        <v>150</v>
      </c>
      <c r="F5" s="9"/>
      <c r="G5" s="15">
        <f>$B$3/$B$4*'Plastic injection case'!$B$44</f>
        <v>35000</v>
      </c>
      <c r="H5" s="15">
        <f>$B$3/$B$4*'Plastic injection case'!$B$44</f>
        <v>35000</v>
      </c>
      <c r="I5" s="15">
        <f>$B$3/$B$4*'Plastic injection case'!$B$44</f>
        <v>35000</v>
      </c>
      <c r="J5" s="15">
        <f>$B$3/$B$4*'Plastic injection case'!$B$44</f>
        <v>35000</v>
      </c>
      <c r="K5" s="15">
        <f>$B$3/$B$4*'Plastic injection case'!$B$44</f>
        <v>35000</v>
      </c>
      <c r="L5" s="15">
        <f>$B$3/$B$4*'Plastic injection case'!$B$44</f>
        <v>35000</v>
      </c>
      <c r="M5" s="15">
        <f>$B$3/$B$4*'Plastic injection case'!$B$44</f>
        <v>35000</v>
      </c>
      <c r="N5" s="15">
        <f>$B$3/$B$4*'Plastic injection case'!$B$44</f>
        <v>35000</v>
      </c>
      <c r="O5" s="15">
        <f>$B$3/$B$4*'Plastic injection case'!$B$44</f>
        <v>35000</v>
      </c>
      <c r="P5" s="15">
        <f>$B$3/$B$4*'Plastic injection case'!$B$44</f>
        <v>35000</v>
      </c>
    </row>
    <row r="6" spans="1:16" s="9" customFormat="1" x14ac:dyDescent="0.25">
      <c r="B6" s="16"/>
      <c r="E6" s="9" t="s">
        <v>142</v>
      </c>
      <c r="P6" s="15">
        <f>'Plastic injection case'!R47</f>
        <v>382692.30769230769</v>
      </c>
    </row>
    <row r="7" spans="1:16" x14ac:dyDescent="0.25">
      <c r="A7" s="9" t="s">
        <v>99</v>
      </c>
      <c r="B7" s="17">
        <f>B5*(1-'Plastic injection case'!$B$44)</f>
        <v>3.9E-2</v>
      </c>
      <c r="D7" s="9"/>
      <c r="E7" s="9" t="s">
        <v>141</v>
      </c>
      <c r="F7" s="9"/>
      <c r="G7" s="9"/>
      <c r="H7" s="9"/>
      <c r="I7" s="9"/>
      <c r="J7" s="9"/>
      <c r="K7" s="9"/>
      <c r="L7" s="9"/>
      <c r="M7" s="9"/>
      <c r="N7" s="9"/>
      <c r="O7" s="9"/>
      <c r="P7" s="15">
        <f>-'Plastic injection case'!$R$44</f>
        <v>-6500000</v>
      </c>
    </row>
    <row r="8" spans="1:16" x14ac:dyDescent="0.25">
      <c r="A8" s="9"/>
      <c r="B8" s="9"/>
      <c r="D8" s="9"/>
      <c r="E8" s="9" t="s">
        <v>97</v>
      </c>
      <c r="F8" s="15">
        <f>'Plastic injection case'!B3-'Buy or lease'!B3</f>
        <v>5000000</v>
      </c>
      <c r="G8" s="15">
        <f t="shared" ref="G8:P8" si="1">SUM(G2:G7)</f>
        <v>-788076.92307692312</v>
      </c>
      <c r="H8" s="15">
        <f t="shared" si="1"/>
        <v>-788076.92307692312</v>
      </c>
      <c r="I8" s="15">
        <f t="shared" si="1"/>
        <v>-788076.92307692312</v>
      </c>
      <c r="J8" s="15">
        <f t="shared" si="1"/>
        <v>-788076.92307692312</v>
      </c>
      <c r="K8" s="15">
        <f t="shared" si="1"/>
        <v>-788076.92307692312</v>
      </c>
      <c r="L8" s="15">
        <f t="shared" si="1"/>
        <v>-788076.92307692312</v>
      </c>
      <c r="M8" s="15">
        <f t="shared" si="1"/>
        <v>-788076.92307692312</v>
      </c>
      <c r="N8" s="15">
        <f t="shared" si="1"/>
        <v>-788076.92307692312</v>
      </c>
      <c r="O8" s="15">
        <f t="shared" si="1"/>
        <v>-788076.92307692312</v>
      </c>
      <c r="P8" s="15">
        <f t="shared" si="1"/>
        <v>-6905384.615384615</v>
      </c>
    </row>
    <row r="9" spans="1:16" x14ac:dyDescent="0.25">
      <c r="A9" s="9"/>
      <c r="B9" s="9"/>
      <c r="D9" s="9"/>
      <c r="E9" s="9" t="s">
        <v>93</v>
      </c>
      <c r="F9" s="16">
        <f>IRR(F8:P8)</f>
        <v>0.16770734959981137</v>
      </c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x14ac:dyDescent="0.25">
      <c r="A10" s="9"/>
      <c r="B10" s="9"/>
      <c r="D10" s="9"/>
      <c r="E10" s="9" t="s">
        <v>90</v>
      </c>
      <c r="F10" s="15">
        <f>F8+NPV($B$7,G8:P8)</f>
        <v>-5596530.8628937025</v>
      </c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x14ac:dyDescent="0.25">
      <c r="A11" s="9"/>
      <c r="B11" s="9"/>
      <c r="F11" s="21"/>
    </row>
    <row r="13" spans="1:16" x14ac:dyDescent="0.25">
      <c r="E13" t="s">
        <v>143</v>
      </c>
      <c r="F13" s="15">
        <v>10596530.862893695</v>
      </c>
      <c r="G13" s="15">
        <f>F13-G14</f>
        <v>10221718.643469626</v>
      </c>
      <c r="H13" s="15">
        <f>G13-H14</f>
        <v>9832288.7474880181</v>
      </c>
      <c r="I13" s="15">
        <f t="shared" ref="I13:P13" si="2">H13-I14</f>
        <v>9427671.085563127</v>
      </c>
      <c r="J13" s="15">
        <f t="shared" si="2"/>
        <v>9007273.3348231651</v>
      </c>
      <c r="K13" s="15">
        <f t="shared" si="2"/>
        <v>8570480.0718043447</v>
      </c>
      <c r="L13" s="15">
        <f t="shared" si="2"/>
        <v>8116651.871527791</v>
      </c>
      <c r="M13" s="15">
        <f t="shared" si="2"/>
        <v>7645124.3714404516</v>
      </c>
      <c r="N13" s="15">
        <f t="shared" si="2"/>
        <v>7155207.2988497065</v>
      </c>
      <c r="O13" s="15">
        <f t="shared" si="2"/>
        <v>6646183.4604279222</v>
      </c>
      <c r="P13" s="15">
        <f t="shared" si="2"/>
        <v>0</v>
      </c>
    </row>
    <row r="14" spans="1:16" x14ac:dyDescent="0.25">
      <c r="F14" s="15" t="s">
        <v>146</v>
      </c>
      <c r="G14" s="15">
        <f>G17-G15</f>
        <v>374812.21942406904</v>
      </c>
      <c r="H14" s="15">
        <f>H17-H15</f>
        <v>389429.89598160773</v>
      </c>
      <c r="I14" s="15">
        <f t="shared" ref="I14:P14" si="3">I17-I15</f>
        <v>404617.66192489036</v>
      </c>
      <c r="J14" s="15">
        <f t="shared" si="3"/>
        <v>420397.75073996116</v>
      </c>
      <c r="K14" s="15">
        <f t="shared" si="3"/>
        <v>436793.26301881974</v>
      </c>
      <c r="L14" s="15">
        <f t="shared" si="3"/>
        <v>453828.20027655363</v>
      </c>
      <c r="M14" s="15">
        <f t="shared" si="3"/>
        <v>471527.50008733926</v>
      </c>
      <c r="N14" s="15">
        <f t="shared" si="3"/>
        <v>489917.07259074546</v>
      </c>
      <c r="O14" s="15">
        <f t="shared" si="3"/>
        <v>509023.83842178452</v>
      </c>
      <c r="P14" s="15">
        <f t="shared" si="3"/>
        <v>6646183.4604279269</v>
      </c>
    </row>
    <row r="15" spans="1:16" s="9" customFormat="1" x14ac:dyDescent="0.25">
      <c r="E15"/>
      <c r="F15" s="15" t="s">
        <v>144</v>
      </c>
      <c r="G15" s="15">
        <f>F13*$B$5</f>
        <v>635791.85177362163</v>
      </c>
      <c r="H15" s="15">
        <f t="shared" ref="H15:P15" si="4">G13*$B$5</f>
        <v>613303.11860817752</v>
      </c>
      <c r="I15" s="15">
        <f t="shared" si="4"/>
        <v>589937.32484928111</v>
      </c>
      <c r="J15" s="15">
        <f t="shared" si="4"/>
        <v>565660.26513378765</v>
      </c>
      <c r="K15" s="15">
        <f t="shared" si="4"/>
        <v>540436.40008938988</v>
      </c>
      <c r="L15" s="15">
        <f t="shared" si="4"/>
        <v>514228.80430826067</v>
      </c>
      <c r="M15" s="15">
        <f t="shared" si="4"/>
        <v>486999.11229166744</v>
      </c>
      <c r="N15" s="15">
        <f t="shared" si="4"/>
        <v>458707.46228642709</v>
      </c>
      <c r="O15" s="15">
        <f t="shared" si="4"/>
        <v>429312.43793098239</v>
      </c>
      <c r="P15" s="15">
        <f t="shared" si="4"/>
        <v>398771.00762567529</v>
      </c>
    </row>
    <row r="16" spans="1:16" x14ac:dyDescent="0.25">
      <c r="E16" s="9"/>
      <c r="F16" s="15" t="s">
        <v>145</v>
      </c>
      <c r="G16" s="15">
        <f>G15*('Plastic injection case'!$B$44)</f>
        <v>222527.14812076755</v>
      </c>
      <c r="H16" s="15">
        <f>H15*('Plastic injection case'!$B$44)</f>
        <v>214656.09151286213</v>
      </c>
      <c r="I16" s="15">
        <f>I15*('Plastic injection case'!$B$44)</f>
        <v>206478.06369724838</v>
      </c>
      <c r="J16" s="15">
        <f>J15*('Plastic injection case'!$B$44)</f>
        <v>197981.09279682566</v>
      </c>
      <c r="K16" s="15">
        <f>K15*('Plastic injection case'!$B$44)</f>
        <v>189152.74003128643</v>
      </c>
      <c r="L16" s="15">
        <f>L15*('Plastic injection case'!$B$44)</f>
        <v>179980.08150789121</v>
      </c>
      <c r="M16" s="15">
        <f>M15*('Plastic injection case'!$B$44)</f>
        <v>170449.6893020836</v>
      </c>
      <c r="N16" s="15">
        <f>N15*('Plastic injection case'!$B$44)</f>
        <v>160547.61180024946</v>
      </c>
      <c r="O16" s="15">
        <f>O15*('Plastic injection case'!$B$44)</f>
        <v>150259.35327584384</v>
      </c>
      <c r="P16" s="15">
        <f>P15*('Plastic injection case'!$B$44)</f>
        <v>139569.85266898634</v>
      </c>
    </row>
    <row r="17" spans="6:16" x14ac:dyDescent="0.25">
      <c r="F17" s="15" t="s">
        <v>106</v>
      </c>
      <c r="G17" s="15">
        <f>-G8+G16</f>
        <v>1010604.0711976907</v>
      </c>
      <c r="H17" s="15">
        <f>-H8+H16</f>
        <v>1002733.0145897852</v>
      </c>
      <c r="I17" s="15">
        <f t="shared" ref="I17:P17" si="5">-I8+I16</f>
        <v>994554.98677417147</v>
      </c>
      <c r="J17" s="15">
        <f t="shared" si="5"/>
        <v>986058.01587374881</v>
      </c>
      <c r="K17" s="15">
        <f t="shared" si="5"/>
        <v>977229.66310820961</v>
      </c>
      <c r="L17" s="15">
        <f t="shared" si="5"/>
        <v>968057.00458481431</v>
      </c>
      <c r="M17" s="15">
        <f t="shared" si="5"/>
        <v>958526.61237900669</v>
      </c>
      <c r="N17" s="15">
        <f t="shared" si="5"/>
        <v>948624.53487717255</v>
      </c>
      <c r="O17" s="15">
        <f t="shared" si="5"/>
        <v>938336.2763527669</v>
      </c>
      <c r="P17" s="15">
        <f t="shared" si="5"/>
        <v>7044954.4680536017</v>
      </c>
    </row>
    <row r="19" spans="6:16" x14ac:dyDescent="0.25">
      <c r="F19" s="15" t="s">
        <v>147</v>
      </c>
      <c r="G19" s="15">
        <f>G16-G17</f>
        <v>-788076.92307692312</v>
      </c>
      <c r="H19" s="15">
        <f t="shared" ref="H19:P19" si="6">H16-H17</f>
        <v>-788076.92307692312</v>
      </c>
      <c r="I19" s="15">
        <f t="shared" si="6"/>
        <v>-788076.92307692312</v>
      </c>
      <c r="J19" s="15">
        <f t="shared" si="6"/>
        <v>-788076.92307692312</v>
      </c>
      <c r="K19" s="15">
        <f t="shared" si="6"/>
        <v>-788076.92307692324</v>
      </c>
      <c r="L19" s="15">
        <f t="shared" si="6"/>
        <v>-788076.92307692312</v>
      </c>
      <c r="M19" s="15">
        <f t="shared" si="6"/>
        <v>-788076.92307692312</v>
      </c>
      <c r="N19" s="15">
        <f t="shared" si="6"/>
        <v>-788076.92307692312</v>
      </c>
      <c r="O19" s="15">
        <f t="shared" si="6"/>
        <v>-788076.92307692301</v>
      </c>
      <c r="P19" s="15">
        <f t="shared" si="6"/>
        <v>-6905384.615384615</v>
      </c>
    </row>
    <row r="21" spans="6:16" x14ac:dyDescent="0.25">
      <c r="F21" s="15">
        <f>F8-F13</f>
        <v>-5596530.862893695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topLeftCell="N1" zoomScale="160" zoomScaleNormal="160" workbookViewId="0">
      <selection activeCell="R10" sqref="R10"/>
    </sheetView>
  </sheetViews>
  <sheetFormatPr defaultRowHeight="15" x14ac:dyDescent="0.25"/>
  <cols>
    <col min="1" max="1" width="30" style="9" bestFit="1" customWidth="1"/>
    <col min="2" max="5" width="9.140625" style="9"/>
    <col min="6" max="6" width="33" style="9" bestFit="1" customWidth="1"/>
    <col min="7" max="7" width="16.7109375" style="9" bestFit="1" customWidth="1"/>
    <col min="8" max="13" width="9.140625" style="9"/>
    <col min="14" max="14" width="17.42578125" style="9" bestFit="1" customWidth="1"/>
    <col min="15" max="16384" width="9.140625" style="9"/>
  </cols>
  <sheetData>
    <row r="1" spans="1:19" x14ac:dyDescent="0.25">
      <c r="N1" s="10" t="s">
        <v>100</v>
      </c>
    </row>
    <row r="2" spans="1:19" x14ac:dyDescent="0.25">
      <c r="A2" s="10" t="s">
        <v>0</v>
      </c>
    </row>
    <row r="3" spans="1:19" ht="15.75" thickBot="1" x14ac:dyDescent="0.3">
      <c r="F3" s="8" t="s">
        <v>39</v>
      </c>
      <c r="G3" s="8">
        <v>0</v>
      </c>
      <c r="H3" s="8">
        <v>1</v>
      </c>
      <c r="I3" s="8">
        <v>2</v>
      </c>
      <c r="J3" s="8">
        <v>3</v>
      </c>
      <c r="K3" s="8">
        <v>4</v>
      </c>
      <c r="L3" s="8">
        <v>5</v>
      </c>
      <c r="N3" s="8" t="s">
        <v>39</v>
      </c>
      <c r="O3" s="8">
        <v>1</v>
      </c>
      <c r="P3" s="8">
        <v>2</v>
      </c>
      <c r="Q3" s="8">
        <v>3</v>
      </c>
      <c r="R3" s="8">
        <v>4</v>
      </c>
      <c r="S3" s="8">
        <v>5</v>
      </c>
    </row>
    <row r="4" spans="1:19" x14ac:dyDescent="0.25">
      <c r="A4" s="9" t="s">
        <v>101</v>
      </c>
      <c r="B4" s="9">
        <v>100</v>
      </c>
      <c r="C4" s="9" t="s">
        <v>132</v>
      </c>
      <c r="N4" s="18" t="s">
        <v>103</v>
      </c>
      <c r="O4" s="7">
        <f>$B$17*B23</f>
        <v>840</v>
      </c>
      <c r="P4" s="7">
        <f>O8</f>
        <v>817.16497213944479</v>
      </c>
      <c r="Q4" s="7">
        <f t="shared" ref="Q4:S4" si="0">P8</f>
        <v>792.95984260725629</v>
      </c>
      <c r="R4" s="7">
        <f t="shared" si="0"/>
        <v>767.30240530313642</v>
      </c>
      <c r="S4" s="7">
        <f t="shared" si="0"/>
        <v>740.10552176076942</v>
      </c>
    </row>
    <row r="5" spans="1:19" x14ac:dyDescent="0.25">
      <c r="A5" s="9" t="s">
        <v>104</v>
      </c>
      <c r="B5" s="12">
        <v>0.01</v>
      </c>
      <c r="F5" s="9" t="s">
        <v>105</v>
      </c>
      <c r="G5" s="14">
        <f>B4</f>
        <v>100</v>
      </c>
      <c r="H5" s="14">
        <f>G5*(1+$B$5)</f>
        <v>101</v>
      </c>
      <c r="I5" s="14">
        <f t="shared" ref="I5:L5" si="1">H5*(1+$B$5)</f>
        <v>102.01</v>
      </c>
      <c r="J5" s="14">
        <f t="shared" si="1"/>
        <v>103.0301</v>
      </c>
      <c r="K5" s="14">
        <f t="shared" si="1"/>
        <v>104.060401</v>
      </c>
      <c r="L5" s="14">
        <f t="shared" si="1"/>
        <v>105.10100500999999</v>
      </c>
      <c r="N5" s="18" t="s">
        <v>106</v>
      </c>
      <c r="O5" s="7">
        <f>PMT($B$19,$B$18,-O4)</f>
        <v>73.235027860555221</v>
      </c>
      <c r="P5" s="7">
        <f>O5</f>
        <v>73.235027860555221</v>
      </c>
      <c r="Q5" s="7">
        <f t="shared" ref="Q5:S5" si="2">P5</f>
        <v>73.235027860555221</v>
      </c>
      <c r="R5" s="7">
        <f t="shared" si="2"/>
        <v>73.235027860555221</v>
      </c>
      <c r="S5" s="7">
        <f t="shared" si="2"/>
        <v>73.235027860555221</v>
      </c>
    </row>
    <row r="6" spans="1:19" x14ac:dyDescent="0.25">
      <c r="A6" s="9" t="s">
        <v>107</v>
      </c>
      <c r="B6" s="9">
        <v>10</v>
      </c>
      <c r="F6" s="9" t="s">
        <v>64</v>
      </c>
      <c r="H6" s="9">
        <f>$B$13*B23</f>
        <v>52.5</v>
      </c>
      <c r="I6" s="9">
        <f>$H$6+$B$14*$B$12</f>
        <v>60</v>
      </c>
      <c r="J6" s="9">
        <f t="shared" ref="J6:L6" si="3">$H$6+$B$14*$B$12</f>
        <v>60</v>
      </c>
      <c r="K6" s="9">
        <f t="shared" si="3"/>
        <v>60</v>
      </c>
      <c r="L6" s="9">
        <f t="shared" si="3"/>
        <v>60</v>
      </c>
      <c r="N6" s="9" t="s">
        <v>108</v>
      </c>
      <c r="O6" s="14">
        <f>O4*$B$19</f>
        <v>50.4</v>
      </c>
      <c r="P6" s="14">
        <f t="shared" ref="P6:S6" si="4">P4*$B$19</f>
        <v>49.029898328366684</v>
      </c>
      <c r="Q6" s="14">
        <f t="shared" si="4"/>
        <v>47.577590556435375</v>
      </c>
      <c r="R6" s="14">
        <f t="shared" si="4"/>
        <v>46.038144318188181</v>
      </c>
      <c r="S6" s="14">
        <f t="shared" si="4"/>
        <v>44.406331305646162</v>
      </c>
    </row>
    <row r="7" spans="1:19" x14ac:dyDescent="0.25">
      <c r="A7" s="9" t="s">
        <v>109</v>
      </c>
      <c r="B7" s="9">
        <v>11</v>
      </c>
      <c r="F7" s="9" t="s">
        <v>108</v>
      </c>
      <c r="H7" s="14">
        <f>O6</f>
        <v>50.4</v>
      </c>
      <c r="I7" s="14">
        <f t="shared" ref="I7:L7" si="5">P6</f>
        <v>49.029898328366684</v>
      </c>
      <c r="J7" s="14">
        <f t="shared" si="5"/>
        <v>47.577590556435375</v>
      </c>
      <c r="K7" s="14">
        <f t="shared" si="5"/>
        <v>46.038144318188181</v>
      </c>
      <c r="L7" s="14">
        <f t="shared" si="5"/>
        <v>44.406331305646162</v>
      </c>
      <c r="N7" s="9" t="s">
        <v>110</v>
      </c>
      <c r="O7" s="14">
        <f>O5-O6</f>
        <v>22.835027860555222</v>
      </c>
      <c r="P7" s="14">
        <f t="shared" ref="P7:S7" si="6">P5-P6</f>
        <v>24.205129532188536</v>
      </c>
      <c r="Q7" s="14">
        <f t="shared" si="6"/>
        <v>25.657437304119846</v>
      </c>
      <c r="R7" s="14">
        <f t="shared" si="6"/>
        <v>27.19688354236704</v>
      </c>
      <c r="S7" s="14">
        <f t="shared" si="6"/>
        <v>28.828696554909058</v>
      </c>
    </row>
    <row r="8" spans="1:19" x14ac:dyDescent="0.25">
      <c r="F8" s="9" t="s">
        <v>111</v>
      </c>
      <c r="H8" s="14">
        <f>H5-H6-H7</f>
        <v>-1.8999999999999986</v>
      </c>
      <c r="I8" s="14">
        <f t="shared" ref="I8:L8" si="7">I5-I6-I7</f>
        <v>-7.0198983283666792</v>
      </c>
      <c r="J8" s="14">
        <f t="shared" si="7"/>
        <v>-4.5474905564353705</v>
      </c>
      <c r="K8" s="14">
        <f t="shared" si="7"/>
        <v>-1.9777433181881818</v>
      </c>
      <c r="L8" s="14">
        <f t="shared" si="7"/>
        <v>0.69467370435383202</v>
      </c>
      <c r="N8" s="9" t="s">
        <v>112</v>
      </c>
      <c r="O8" s="14">
        <f>O4-O7</f>
        <v>817.16497213944479</v>
      </c>
      <c r="P8" s="14">
        <f t="shared" ref="P8:S8" si="8">P4-P7</f>
        <v>792.95984260725629</v>
      </c>
      <c r="Q8" s="14">
        <f t="shared" si="8"/>
        <v>767.30240530313642</v>
      </c>
      <c r="R8" s="14">
        <f t="shared" si="8"/>
        <v>740.10552176076942</v>
      </c>
      <c r="S8" s="14">
        <f t="shared" si="8"/>
        <v>711.2768252058604</v>
      </c>
    </row>
    <row r="9" spans="1:19" x14ac:dyDescent="0.25">
      <c r="A9" s="9" t="s">
        <v>129</v>
      </c>
      <c r="B9" s="9">
        <v>50</v>
      </c>
      <c r="C9" s="9" t="s">
        <v>102</v>
      </c>
      <c r="F9" s="9" t="s">
        <v>113</v>
      </c>
      <c r="H9" s="14">
        <f>H8*$B$21</f>
        <v>-0.37999999999999973</v>
      </c>
      <c r="I9" s="14">
        <f t="shared" ref="I9:L9" si="9">I8*$B$21</f>
        <v>-1.4039796656733359</v>
      </c>
      <c r="J9" s="14">
        <f t="shared" si="9"/>
        <v>-0.90949811128707414</v>
      </c>
      <c r="K9" s="14">
        <f t="shared" si="9"/>
        <v>-0.39554866363763641</v>
      </c>
      <c r="L9" s="14">
        <f t="shared" si="9"/>
        <v>0.1389347408707664</v>
      </c>
    </row>
    <row r="10" spans="1:19" x14ac:dyDescent="0.25">
      <c r="A10" s="9" t="s">
        <v>53</v>
      </c>
      <c r="F10" s="9" t="s">
        <v>53</v>
      </c>
    </row>
    <row r="11" spans="1:19" x14ac:dyDescent="0.25">
      <c r="A11" s="9" t="s">
        <v>130</v>
      </c>
      <c r="B11" s="12">
        <v>0.25</v>
      </c>
      <c r="C11" s="9" t="s">
        <v>114</v>
      </c>
      <c r="F11" s="9" t="s">
        <v>115</v>
      </c>
      <c r="H11" s="14">
        <f>H8-H9</f>
        <v>-1.5199999999999989</v>
      </c>
      <c r="I11" s="14">
        <f t="shared" ref="I11:L11" si="10">I8-I9</f>
        <v>-5.6159186626933435</v>
      </c>
      <c r="J11" s="14">
        <f t="shared" si="10"/>
        <v>-3.6379924451482966</v>
      </c>
      <c r="K11" s="14">
        <f t="shared" si="10"/>
        <v>-1.5821946545505454</v>
      </c>
      <c r="L11" s="14">
        <f t="shared" si="10"/>
        <v>0.55573896348306562</v>
      </c>
    </row>
    <row r="12" spans="1:19" x14ac:dyDescent="0.25">
      <c r="A12" s="9" t="s">
        <v>116</v>
      </c>
      <c r="B12" s="19">
        <v>150</v>
      </c>
      <c r="C12" s="9" t="s">
        <v>132</v>
      </c>
    </row>
    <row r="13" spans="1:19" x14ac:dyDescent="0.25">
      <c r="A13" s="9" t="s">
        <v>117</v>
      </c>
      <c r="B13" s="12">
        <v>0.05</v>
      </c>
      <c r="F13" s="9" t="s">
        <v>23</v>
      </c>
      <c r="G13" s="14">
        <f>$B$11*G5</f>
        <v>25</v>
      </c>
      <c r="H13" s="14">
        <f>$B$11*H5</f>
        <v>25.25</v>
      </c>
      <c r="I13" s="14">
        <f t="shared" ref="I13:L13" si="11">$B$11*I5</f>
        <v>25.502500000000001</v>
      </c>
      <c r="J13" s="14">
        <f t="shared" si="11"/>
        <v>25.757525000000001</v>
      </c>
      <c r="K13" s="14">
        <f t="shared" si="11"/>
        <v>26.01510025</v>
      </c>
      <c r="L13" s="14">
        <f t="shared" si="11"/>
        <v>26.275251252499999</v>
      </c>
    </row>
    <row r="14" spans="1:19" x14ac:dyDescent="0.25">
      <c r="A14" s="9" t="s">
        <v>118</v>
      </c>
      <c r="B14" s="12">
        <v>0.05</v>
      </c>
      <c r="F14" s="9" t="s">
        <v>119</v>
      </c>
      <c r="H14" s="14">
        <f>H13-G13</f>
        <v>0.25</v>
      </c>
      <c r="I14" s="14">
        <f t="shared" ref="I14:L14" si="12">I13-H13</f>
        <v>0.25250000000000128</v>
      </c>
      <c r="J14" s="14">
        <f t="shared" si="12"/>
        <v>0.25502499999999984</v>
      </c>
      <c r="K14" s="14">
        <f t="shared" si="12"/>
        <v>0.25757524999999859</v>
      </c>
      <c r="L14" s="14">
        <f t="shared" si="12"/>
        <v>0.2601510024999989</v>
      </c>
    </row>
    <row r="15" spans="1:19" x14ac:dyDescent="0.25">
      <c r="B15" s="12"/>
      <c r="F15" s="9" t="s">
        <v>120</v>
      </c>
      <c r="H15" s="19">
        <f>B12</f>
        <v>150</v>
      </c>
    </row>
    <row r="16" spans="1:19" x14ac:dyDescent="0.25">
      <c r="C16" s="9" t="s">
        <v>53</v>
      </c>
    </row>
    <row r="17" spans="1:13" x14ac:dyDescent="0.25">
      <c r="A17" s="9" t="s">
        <v>131</v>
      </c>
      <c r="B17" s="12">
        <v>0.8</v>
      </c>
      <c r="F17" s="9" t="s">
        <v>121</v>
      </c>
      <c r="H17" s="14">
        <f>H11+H6-H14-H15-O7</f>
        <v>-122.10502786055523</v>
      </c>
      <c r="I17" s="14">
        <f>I11+I6-I14-I15-P7</f>
        <v>29.92645180511812</v>
      </c>
      <c r="J17" s="14">
        <f>J11+J6-J14-J15-Q7</f>
        <v>30.449545250731852</v>
      </c>
      <c r="K17" s="14">
        <f>K11+K6-K14-K15-R7</f>
        <v>30.96334655308241</v>
      </c>
      <c r="L17" s="14">
        <f>L11+L6-L14-L15-S7</f>
        <v>31.466891406074012</v>
      </c>
    </row>
    <row r="18" spans="1:13" x14ac:dyDescent="0.25">
      <c r="A18" s="9" t="s">
        <v>122</v>
      </c>
      <c r="B18" s="9">
        <v>20</v>
      </c>
      <c r="C18" s="9" t="s">
        <v>9</v>
      </c>
      <c r="F18" s="9" t="s">
        <v>123</v>
      </c>
      <c r="L18" s="14">
        <f>L5*$B$7-S8+B9</f>
        <v>494.83422990413965</v>
      </c>
      <c r="M18" s="20" t="s">
        <v>136</v>
      </c>
    </row>
    <row r="19" spans="1:13" x14ac:dyDescent="0.25">
      <c r="A19" s="9" t="s">
        <v>124</v>
      </c>
      <c r="B19" s="12">
        <v>0.06</v>
      </c>
      <c r="F19" s="9" t="s">
        <v>125</v>
      </c>
      <c r="G19" s="14">
        <f>-B23+O4</f>
        <v>-210</v>
      </c>
      <c r="H19" s="14">
        <f>H17+H18</f>
        <v>-122.10502786055523</v>
      </c>
      <c r="I19" s="14">
        <f t="shared" ref="I19:L19" si="13">I17+I18</f>
        <v>29.92645180511812</v>
      </c>
      <c r="J19" s="14">
        <f t="shared" si="13"/>
        <v>30.449545250731852</v>
      </c>
      <c r="K19" s="14">
        <f t="shared" si="13"/>
        <v>30.96334655308241</v>
      </c>
      <c r="L19" s="14">
        <f t="shared" si="13"/>
        <v>526.3011213102136</v>
      </c>
    </row>
    <row r="20" spans="1:13" x14ac:dyDescent="0.25">
      <c r="F20" s="9" t="s">
        <v>93</v>
      </c>
      <c r="G20" s="12">
        <f>IRR(G19:L19)</f>
        <v>0.15493604505598335</v>
      </c>
    </row>
    <row r="21" spans="1:13" x14ac:dyDescent="0.25">
      <c r="A21" s="9" t="s">
        <v>126</v>
      </c>
      <c r="B21" s="12">
        <v>0.2</v>
      </c>
      <c r="F21" s="9" t="s">
        <v>133</v>
      </c>
      <c r="G21" s="14">
        <f>SUM(H19:L19)/-G19</f>
        <v>2.359692557421861</v>
      </c>
      <c r="H21" s="20" t="s">
        <v>137</v>
      </c>
    </row>
    <row r="22" spans="1:13" x14ac:dyDescent="0.25">
      <c r="F22" s="9" t="s">
        <v>90</v>
      </c>
      <c r="G22" s="14">
        <f>NPV($B$25,H19:L19)+G19</f>
        <v>5.8395493564840706</v>
      </c>
    </row>
    <row r="23" spans="1:13" x14ac:dyDescent="0.25">
      <c r="A23" s="9" t="s">
        <v>127</v>
      </c>
      <c r="B23" s="15">
        <f>B4*B6+B9</f>
        <v>1050</v>
      </c>
      <c r="C23" s="9" t="s">
        <v>132</v>
      </c>
    </row>
    <row r="25" spans="1:13" x14ac:dyDescent="0.25">
      <c r="A25" s="9" t="s">
        <v>128</v>
      </c>
      <c r="B25" s="12">
        <v>0.15</v>
      </c>
    </row>
    <row r="27" spans="1:13" x14ac:dyDescent="0.25">
      <c r="A27" s="20" t="s">
        <v>138</v>
      </c>
    </row>
    <row r="28" spans="1:13" x14ac:dyDescent="0.25">
      <c r="A28" s="20" t="s">
        <v>134</v>
      </c>
    </row>
    <row r="29" spans="1:13" x14ac:dyDescent="0.25">
      <c r="A29" s="20" t="s">
        <v>139</v>
      </c>
    </row>
    <row r="30" spans="1:13" x14ac:dyDescent="0.25">
      <c r="A30" s="20" t="s">
        <v>135</v>
      </c>
    </row>
    <row r="31" spans="1:13" x14ac:dyDescent="0.25">
      <c r="A31" s="20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Plastic injection case</vt:lpstr>
      <vt:lpstr>Buy or lease</vt:lpstr>
      <vt:lpstr>LBO</vt:lpstr>
    </vt:vector>
  </TitlesOfParts>
  <Company>Wisconsin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Erwan Quintin</dc:creator>
  <cp:lastModifiedBy>Erwan Quintin</cp:lastModifiedBy>
  <cp:lastPrinted>2020-03-24T19:04:23Z</cp:lastPrinted>
  <dcterms:created xsi:type="dcterms:W3CDTF">2020-03-20T13:08:08Z</dcterms:created>
  <dcterms:modified xsi:type="dcterms:W3CDTF">2020-05-20T21:43:53Z</dcterms:modified>
</cp:coreProperties>
</file>