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Corp 2021\"/>
    </mc:Choice>
  </mc:AlternateContent>
  <bookViews>
    <workbookView xWindow="0" yWindow="0" windowWidth="28740" windowHeight="13020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P67" i="1"/>
  <c r="B51" i="1" l="1"/>
  <c r="F79" i="1"/>
  <c r="F31" i="1" l="1"/>
  <c r="F66" i="1" l="1"/>
  <c r="P45" i="1"/>
  <c r="I37" i="1"/>
  <c r="J37" i="1"/>
  <c r="K37" i="1"/>
  <c r="I38" i="1"/>
  <c r="J38" i="1"/>
  <c r="K38" i="1"/>
  <c r="P38" i="1"/>
  <c r="I39" i="1"/>
  <c r="J39" i="1"/>
  <c r="K39" i="1"/>
  <c r="O39" i="1"/>
  <c r="P39" i="1"/>
  <c r="H37" i="1"/>
  <c r="H38" i="1"/>
  <c r="H39" i="1"/>
  <c r="G34" i="1"/>
  <c r="L39" i="1" s="1"/>
  <c r="F33" i="1"/>
  <c r="L38" i="1" s="1"/>
  <c r="F32" i="1"/>
  <c r="L37" i="1" s="1"/>
  <c r="G16" i="1"/>
  <c r="H16" i="1" s="1"/>
  <c r="I16" i="1" s="1"/>
  <c r="J16" i="1" s="1"/>
  <c r="K16" i="1" s="1"/>
  <c r="L16" i="1" s="1"/>
  <c r="M16" i="1" s="1"/>
  <c r="N16" i="1" s="1"/>
  <c r="O16" i="1" s="1"/>
  <c r="P16" i="1" s="1"/>
  <c r="G15" i="1"/>
  <c r="H15" i="1" s="1"/>
  <c r="G12" i="1"/>
  <c r="H12" i="1" s="1"/>
  <c r="I12" i="1" s="1"/>
  <c r="J12" i="1" s="1"/>
  <c r="K12" i="1" s="1"/>
  <c r="J7" i="1"/>
  <c r="K7" i="1"/>
  <c r="L7" i="1"/>
  <c r="M7" i="1"/>
  <c r="N7" i="1"/>
  <c r="O7" i="1"/>
  <c r="P7" i="1"/>
  <c r="I7" i="1"/>
  <c r="H7" i="1"/>
  <c r="G7" i="1"/>
  <c r="I15" i="1" l="1"/>
  <c r="O38" i="1"/>
  <c r="O37" i="1"/>
  <c r="P37" i="1"/>
  <c r="N39" i="1"/>
  <c r="N38" i="1"/>
  <c r="N37" i="1"/>
  <c r="G37" i="1"/>
  <c r="M39" i="1"/>
  <c r="M38" i="1"/>
  <c r="M37" i="1"/>
  <c r="P46" i="1"/>
  <c r="G38" i="1"/>
  <c r="P51" i="1" s="1"/>
  <c r="P53" i="1" s="1"/>
  <c r="L12" i="1"/>
  <c r="G5" i="1"/>
  <c r="G6" i="1" s="1"/>
  <c r="G8" i="1" s="1"/>
  <c r="H4" i="1"/>
  <c r="I4" i="1" s="1"/>
  <c r="G4" i="1"/>
  <c r="B53" i="1"/>
  <c r="I5" i="1" l="1"/>
  <c r="J4" i="1"/>
  <c r="G9" i="1"/>
  <c r="G17" i="1"/>
  <c r="H5" i="1"/>
  <c r="P47" i="1"/>
  <c r="P48" i="1" s="1"/>
  <c r="P49" i="1" s="1"/>
  <c r="J15" i="1"/>
  <c r="M12" i="1"/>
  <c r="K15" i="1" l="1"/>
  <c r="L15" i="1" s="1"/>
  <c r="G25" i="1"/>
  <c r="G18" i="1"/>
  <c r="G19" i="1" s="1"/>
  <c r="G20" i="1" s="1"/>
  <c r="G13" i="1"/>
  <c r="G10" i="1"/>
  <c r="G24" i="1" s="1"/>
  <c r="K4" i="1"/>
  <c r="J5" i="1"/>
  <c r="N12" i="1"/>
  <c r="G21" i="1" l="1"/>
  <c r="G26" i="1"/>
  <c r="G27" i="1" s="1"/>
  <c r="G28" i="1" s="1"/>
  <c r="G41" i="1"/>
  <c r="M15" i="1"/>
  <c r="H6" i="1"/>
  <c r="H8" i="1" s="1"/>
  <c r="L4" i="1"/>
  <c r="K5" i="1"/>
  <c r="O12" i="1"/>
  <c r="N15" i="1" l="1"/>
  <c r="G42" i="1"/>
  <c r="G64" i="1" s="1"/>
  <c r="G66" i="1" s="1"/>
  <c r="M4" i="1"/>
  <c r="L5" i="1"/>
  <c r="H9" i="1"/>
  <c r="H17" i="1"/>
  <c r="P12" i="1"/>
  <c r="H25" i="1" l="1"/>
  <c r="H18" i="1"/>
  <c r="H19" i="1" s="1"/>
  <c r="N4" i="1"/>
  <c r="M5" i="1"/>
  <c r="H13" i="1"/>
  <c r="H10" i="1"/>
  <c r="H20" i="1"/>
  <c r="O15" i="1"/>
  <c r="P15" i="1" s="1"/>
  <c r="H24" i="1" l="1"/>
  <c r="I6" i="1"/>
  <c r="I8" i="1" s="1"/>
  <c r="H26" i="1"/>
  <c r="H21" i="1"/>
  <c r="H41" i="1" s="1"/>
  <c r="O4" i="1"/>
  <c r="N5" i="1"/>
  <c r="H42" i="1" l="1"/>
  <c r="H64" i="1" s="1"/>
  <c r="H66" i="1" s="1"/>
  <c r="P4" i="1"/>
  <c r="P5" i="1" s="1"/>
  <c r="O5" i="1"/>
  <c r="I9" i="1"/>
  <c r="I17" i="1"/>
  <c r="H27" i="1"/>
  <c r="H28" i="1" s="1"/>
  <c r="I25" i="1" l="1"/>
  <c r="I18" i="1"/>
  <c r="I19" i="1" s="1"/>
  <c r="I20" i="1" s="1"/>
  <c r="I10" i="1"/>
  <c r="I13" i="1"/>
  <c r="I26" i="1" l="1"/>
  <c r="I21" i="1"/>
  <c r="I41" i="1"/>
  <c r="I24" i="1"/>
  <c r="J6" i="1"/>
  <c r="J8" i="1" s="1"/>
  <c r="J9" i="1" l="1"/>
  <c r="J17" i="1"/>
  <c r="I42" i="1"/>
  <c r="I64" i="1" s="1"/>
  <c r="I66" i="1" s="1"/>
  <c r="I27" i="1"/>
  <c r="I28" i="1" s="1"/>
  <c r="J25" i="1" l="1"/>
  <c r="J18" i="1"/>
  <c r="J19" i="1" s="1"/>
  <c r="J20" i="1" s="1"/>
  <c r="J10" i="1"/>
  <c r="J13" i="1"/>
  <c r="J26" i="1" l="1"/>
  <c r="J21" i="1"/>
  <c r="J41" i="1" s="1"/>
  <c r="K6" i="1"/>
  <c r="K8" i="1" s="1"/>
  <c r="J24" i="1"/>
  <c r="J42" i="1" l="1"/>
  <c r="J64" i="1" s="1"/>
  <c r="J66" i="1" s="1"/>
  <c r="K9" i="1"/>
  <c r="K17" i="1"/>
  <c r="J27" i="1"/>
  <c r="J28" i="1" s="1"/>
  <c r="K18" i="1" l="1"/>
  <c r="K19" i="1" s="1"/>
  <c r="K20" i="1" s="1"/>
  <c r="K25" i="1"/>
  <c r="K10" i="1"/>
  <c r="K13" i="1"/>
  <c r="L6" i="1" l="1"/>
  <c r="L8" i="1" s="1"/>
  <c r="K24" i="1"/>
  <c r="K21" i="1"/>
  <c r="K41" i="1" s="1"/>
  <c r="K26" i="1"/>
  <c r="K42" i="1" l="1"/>
  <c r="K64" i="1" s="1"/>
  <c r="K66" i="1" s="1"/>
  <c r="K27" i="1"/>
  <c r="K28" i="1" s="1"/>
  <c r="L9" i="1"/>
  <c r="L17" i="1"/>
  <c r="L25" i="1" l="1"/>
  <c r="L18" i="1"/>
  <c r="L19" i="1" s="1"/>
  <c r="L20" i="1" s="1"/>
  <c r="L10" i="1"/>
  <c r="L13" i="1"/>
  <c r="M6" i="1" l="1"/>
  <c r="M8" i="1" s="1"/>
  <c r="L24" i="1"/>
  <c r="L21" i="1"/>
  <c r="L41" i="1" s="1"/>
  <c r="L26" i="1"/>
  <c r="L42" i="1" l="1"/>
  <c r="L64" i="1" s="1"/>
  <c r="L66" i="1" s="1"/>
  <c r="L27" i="1"/>
  <c r="L28" i="1" s="1"/>
  <c r="M9" i="1"/>
  <c r="M17" i="1"/>
  <c r="M10" i="1" l="1"/>
  <c r="M13" i="1"/>
  <c r="M25" i="1"/>
  <c r="M18" i="1"/>
  <c r="M19" i="1" s="1"/>
  <c r="M20" i="1"/>
  <c r="N6" i="1" l="1"/>
  <c r="N8" i="1" s="1"/>
  <c r="M24" i="1"/>
  <c r="M26" i="1"/>
  <c r="M27" i="1" s="1"/>
  <c r="M28" i="1" s="1"/>
  <c r="M21" i="1"/>
  <c r="M41" i="1" s="1"/>
  <c r="M42" i="1" l="1"/>
  <c r="M64" i="1" s="1"/>
  <c r="M66" i="1" s="1"/>
  <c r="N9" i="1"/>
  <c r="N17" i="1"/>
  <c r="N25" i="1" l="1"/>
  <c r="N18" i="1"/>
  <c r="N19" i="1" s="1"/>
  <c r="N20" i="1" s="1"/>
  <c r="N10" i="1"/>
  <c r="N13" i="1"/>
  <c r="N26" i="1" l="1"/>
  <c r="N21" i="1"/>
  <c r="N41" i="1" s="1"/>
  <c r="O6" i="1"/>
  <c r="O8" i="1" s="1"/>
  <c r="N24" i="1"/>
  <c r="N42" i="1" l="1"/>
  <c r="N64" i="1" s="1"/>
  <c r="N66" i="1" s="1"/>
  <c r="N27" i="1"/>
  <c r="N28" i="1" s="1"/>
  <c r="O9" i="1"/>
  <c r="O17" i="1"/>
  <c r="O18" i="1" l="1"/>
  <c r="O19" i="1" s="1"/>
  <c r="O20" i="1" s="1"/>
  <c r="O25" i="1"/>
  <c r="O10" i="1"/>
  <c r="O13" i="1"/>
  <c r="O26" i="1" l="1"/>
  <c r="O21" i="1"/>
  <c r="O41" i="1" s="1"/>
  <c r="P6" i="1"/>
  <c r="P8" i="1" s="1"/>
  <c r="O24" i="1"/>
  <c r="O42" i="1" l="1"/>
  <c r="P9" i="1"/>
  <c r="P17" i="1"/>
  <c r="O27" i="1"/>
  <c r="O28" i="1" s="1"/>
  <c r="O64" i="1" s="1"/>
  <c r="O66" i="1" s="1"/>
  <c r="P25" i="1" l="1"/>
  <c r="P18" i="1"/>
  <c r="P19" i="1" s="1"/>
  <c r="P20" i="1" s="1"/>
  <c r="P10" i="1"/>
  <c r="P13" i="1"/>
  <c r="P26" i="1" l="1"/>
  <c r="P60" i="1" s="1"/>
  <c r="P62" i="1" s="1"/>
  <c r="P21" i="1"/>
  <c r="P41" i="1" s="1"/>
  <c r="P24" i="1"/>
  <c r="P55" i="1"/>
  <c r="P42" i="1" l="1"/>
  <c r="P64" i="1" s="1"/>
  <c r="P27" i="1"/>
  <c r="P28" i="1" s="1"/>
  <c r="P56" i="1"/>
  <c r="P57" i="1"/>
  <c r="P58" i="1" s="1"/>
  <c r="P65" i="1" s="1"/>
  <c r="P66" i="1" s="1"/>
  <c r="P70" i="1" l="1"/>
  <c r="F67" i="1"/>
  <c r="O67" i="1"/>
  <c r="O70" i="1" s="1"/>
  <c r="P71" i="1" s="1"/>
  <c r="P72" i="1" s="1"/>
  <c r="P74" i="1" s="1"/>
  <c r="G67" i="1"/>
  <c r="G70" i="1" s="1"/>
  <c r="H71" i="1" s="1"/>
  <c r="F70" i="1"/>
  <c r="H67" i="1"/>
  <c r="H70" i="1" s="1"/>
  <c r="I71" i="1" s="1"/>
  <c r="I67" i="1"/>
  <c r="I70" i="1" s="1"/>
  <c r="J71" i="1" s="1"/>
  <c r="N67" i="1"/>
  <c r="N70" i="1" s="1"/>
  <c r="O71" i="1" s="1"/>
  <c r="K67" i="1"/>
  <c r="K70" i="1" s="1"/>
  <c r="L71" i="1" s="1"/>
  <c r="J67" i="1"/>
  <c r="J70" i="1" s="1"/>
  <c r="K71" i="1" s="1"/>
  <c r="M67" i="1"/>
  <c r="M70" i="1" s="1"/>
  <c r="N71" i="1" s="1"/>
  <c r="L67" i="1"/>
  <c r="L70" i="1" s="1"/>
  <c r="M71" i="1" s="1"/>
  <c r="I72" i="1" l="1"/>
  <c r="I74" i="1"/>
  <c r="F74" i="1"/>
  <c r="G71" i="1"/>
  <c r="J72" i="1"/>
  <c r="J74" i="1"/>
  <c r="M72" i="1"/>
  <c r="M74" i="1"/>
  <c r="H72" i="1"/>
  <c r="H74" i="1"/>
  <c r="N72" i="1"/>
  <c r="N74" i="1"/>
  <c r="K72" i="1"/>
  <c r="K74" i="1"/>
  <c r="O72" i="1"/>
  <c r="O74" i="1"/>
  <c r="L72" i="1"/>
  <c r="L74" i="1"/>
  <c r="G72" i="1" l="1"/>
  <c r="G74" i="1"/>
  <c r="F75" i="1" s="1"/>
  <c r="F77" i="1" l="1"/>
  <c r="F78" i="1"/>
  <c r="I78" i="1" s="1"/>
</calcChain>
</file>

<file path=xl/sharedStrings.xml><?xml version="1.0" encoding="utf-8"?>
<sst xmlns="http://schemas.openxmlformats.org/spreadsheetml/2006/main" count="126" uniqueCount="100">
  <si>
    <t>Assumptions</t>
  </si>
  <si>
    <t>Development costs</t>
  </si>
  <si>
    <t>Land</t>
  </si>
  <si>
    <t>Structure</t>
  </si>
  <si>
    <t>$</t>
  </si>
  <si>
    <t>Equipment cost</t>
  </si>
  <si>
    <t>Year 0</t>
  </si>
  <si>
    <t>Year1</t>
  </si>
  <si>
    <t>Useful life</t>
  </si>
  <si>
    <t>years</t>
  </si>
  <si>
    <t>Equipment</t>
  </si>
  <si>
    <t>Production capacity</t>
  </si>
  <si>
    <t>Maximum capacity</t>
  </si>
  <si>
    <t>units</t>
  </si>
  <si>
    <t>year 1 capacity</t>
  </si>
  <si>
    <t>year 2 capacity</t>
  </si>
  <si>
    <t>Production costs</t>
  </si>
  <si>
    <t>Fixed cost</t>
  </si>
  <si>
    <t>Variable cost</t>
  </si>
  <si>
    <t>$ per unit</t>
  </si>
  <si>
    <t>Yearly growth</t>
  </si>
  <si>
    <t>SG&amp;A</t>
  </si>
  <si>
    <t>of sales</t>
  </si>
  <si>
    <t>Working Capital</t>
  </si>
  <si>
    <t>Final good inventory</t>
  </si>
  <si>
    <t>Account payable</t>
  </si>
  <si>
    <t>Account receivable</t>
  </si>
  <si>
    <t>of variable costs</t>
  </si>
  <si>
    <t>Market projection</t>
  </si>
  <si>
    <t>Potential sales</t>
  </si>
  <si>
    <t>Unit price (year 1)</t>
  </si>
  <si>
    <t>Reversion</t>
  </si>
  <si>
    <t>Facility</t>
  </si>
  <si>
    <t>Book</t>
  </si>
  <si>
    <t>Inventories</t>
  </si>
  <si>
    <t>Market</t>
  </si>
  <si>
    <t>Net receivables</t>
  </si>
  <si>
    <t>Tax rates</t>
  </si>
  <si>
    <t>Ordinary</t>
  </si>
  <si>
    <t>capital gains</t>
  </si>
  <si>
    <t>depreciation recapture</t>
  </si>
  <si>
    <t>WACC</t>
  </si>
  <si>
    <t>Fraction of debt</t>
  </si>
  <si>
    <t>rquired return on debt</t>
  </si>
  <si>
    <t>fraction of equity</t>
  </si>
  <si>
    <t>required return on equity</t>
  </si>
  <si>
    <t>Year</t>
  </si>
  <si>
    <t>Potential sales (PS)</t>
  </si>
  <si>
    <t>Inventory required at potential (RIPS)</t>
  </si>
  <si>
    <t>Production needed to sell at potential (PNP)</t>
  </si>
  <si>
    <t>Capacity</t>
  </si>
  <si>
    <t>Units produced (UP)</t>
  </si>
  <si>
    <t>Units sold (US)</t>
  </si>
  <si>
    <t>Ending inventory (EI)</t>
  </si>
  <si>
    <t>Unit price</t>
  </si>
  <si>
    <t>Actual sales ($)</t>
  </si>
  <si>
    <t>Fixed operating cost</t>
  </si>
  <si>
    <t>Variable cost per unit</t>
  </si>
  <si>
    <t>Variable operating cost</t>
  </si>
  <si>
    <t>Total operating cost</t>
  </si>
  <si>
    <t>Production cost per unit</t>
  </si>
  <si>
    <t>COGS</t>
  </si>
  <si>
    <t>Working capital</t>
  </si>
  <si>
    <t>Inventory (EIC)</t>
  </si>
  <si>
    <t>Payables</t>
  </si>
  <si>
    <t>Receivables</t>
  </si>
  <si>
    <t>Total</t>
  </si>
  <si>
    <t>Addition to WK</t>
  </si>
  <si>
    <t>Investment</t>
  </si>
  <si>
    <t>Equipment (year 0)</t>
  </si>
  <si>
    <t>Equipment (year 1)</t>
  </si>
  <si>
    <t>Depreciation</t>
  </si>
  <si>
    <t>EBIT</t>
  </si>
  <si>
    <t>Taxes on EBIT</t>
  </si>
  <si>
    <t>Plant</t>
  </si>
  <si>
    <t>OB + Capex</t>
  </si>
  <si>
    <t>All depreciation</t>
  </si>
  <si>
    <t>Taxes at reversion</t>
  </si>
  <si>
    <t>Net cash from reversion</t>
  </si>
  <si>
    <t>Machines</t>
  </si>
  <si>
    <t>Net cash from reversion (machines)</t>
  </si>
  <si>
    <t>Inventory</t>
  </si>
  <si>
    <t>Book value</t>
  </si>
  <si>
    <t>Net cash from reversion (inventory)</t>
  </si>
  <si>
    <t>Receivable - Payables</t>
  </si>
  <si>
    <t>Net cash from reversion (net receivables)</t>
  </si>
  <si>
    <t>Unlevered FCFF (operations)</t>
  </si>
  <si>
    <t>Unlevered FCFF (reversion)</t>
  </si>
  <si>
    <t>Unlevered FCFF (total)</t>
  </si>
  <si>
    <t>NPV</t>
  </si>
  <si>
    <t>Debt schedule</t>
  </si>
  <si>
    <t>Principal (end of year)</t>
  </si>
  <si>
    <t>Interest</t>
  </si>
  <si>
    <t>Payment (IO)</t>
  </si>
  <si>
    <t>FCFE</t>
  </si>
  <si>
    <t>MV of project</t>
  </si>
  <si>
    <t>True debt ratio</t>
  </si>
  <si>
    <t>True* WACC</t>
  </si>
  <si>
    <t>NPV at true* WACC</t>
  </si>
  <si>
    <t>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</si>
</sst>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3" fontId="2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J55" zoomScale="160" zoomScaleNormal="160" workbookViewId="0">
      <selection activeCell="P67" sqref="P67"/>
    </sheetView>
  </sheetViews>
  <sheetFormatPr defaultColWidth="8.85546875" defaultRowHeight="15" x14ac:dyDescent="0.25"/>
  <cols>
    <col min="1" max="1" width="18.28515625" style="1" bestFit="1" customWidth="1"/>
    <col min="2" max="2" width="12.7109375" style="1" bestFit="1" customWidth="1"/>
    <col min="3" max="4" width="8.85546875" style="1"/>
    <col min="5" max="5" width="41.140625" style="1" bestFit="1" customWidth="1"/>
    <col min="6" max="6" width="19.85546875" style="1" bestFit="1" customWidth="1"/>
    <col min="7" max="16" width="13.140625" style="1" bestFit="1" customWidth="1"/>
    <col min="17" max="16384" width="8.85546875" style="1"/>
  </cols>
  <sheetData>
    <row r="1" spans="1:16" x14ac:dyDescent="0.25">
      <c r="A1" s="2" t="s">
        <v>0</v>
      </c>
    </row>
    <row r="2" spans="1:16" ht="15.75" thickBot="1" x14ac:dyDescent="0.3">
      <c r="E2" s="6" t="s">
        <v>46</v>
      </c>
      <c r="F2" s="6">
        <v>0</v>
      </c>
      <c r="G2" s="6">
        <v>1</v>
      </c>
      <c r="H2" s="6">
        <v>2</v>
      </c>
      <c r="I2" s="6">
        <v>3</v>
      </c>
      <c r="J2" s="6">
        <v>4</v>
      </c>
      <c r="K2" s="6">
        <v>5</v>
      </c>
      <c r="L2" s="6">
        <v>6</v>
      </c>
      <c r="M2" s="6">
        <v>7</v>
      </c>
      <c r="N2" s="6">
        <v>8</v>
      </c>
      <c r="O2" s="6">
        <v>9</v>
      </c>
      <c r="P2" s="6">
        <v>10</v>
      </c>
    </row>
    <row r="3" spans="1:16" ht="15.75" thickTop="1" x14ac:dyDescent="0.25">
      <c r="A3" s="1" t="s">
        <v>1</v>
      </c>
    </row>
    <row r="4" spans="1:16" x14ac:dyDescent="0.25">
      <c r="A4" s="1" t="s">
        <v>2</v>
      </c>
      <c r="B4" s="1">
        <v>1200000</v>
      </c>
      <c r="C4" s="1" t="s">
        <v>4</v>
      </c>
      <c r="E4" s="1" t="s">
        <v>47</v>
      </c>
      <c r="G4" s="1">
        <f>$B$32</f>
        <v>850000</v>
      </c>
      <c r="H4" s="1">
        <f>G4*(1+$B$33)</f>
        <v>884000</v>
      </c>
      <c r="I4" s="1">
        <f t="shared" ref="I4:P4" si="0">H4*(1+$B$33)</f>
        <v>919360</v>
      </c>
      <c r="J4" s="1">
        <f t="shared" si="0"/>
        <v>956134.40000000002</v>
      </c>
      <c r="K4" s="1">
        <f t="shared" si="0"/>
        <v>994379.77600000007</v>
      </c>
      <c r="L4" s="1">
        <f t="shared" si="0"/>
        <v>1034154.9670400001</v>
      </c>
      <c r="M4" s="1">
        <f t="shared" si="0"/>
        <v>1075521.1657216002</v>
      </c>
      <c r="N4" s="1">
        <f t="shared" si="0"/>
        <v>1118542.0123504642</v>
      </c>
      <c r="O4" s="1">
        <f t="shared" si="0"/>
        <v>1163283.6928444828</v>
      </c>
      <c r="P4" s="1">
        <f t="shared" si="0"/>
        <v>1209815.0405582623</v>
      </c>
    </row>
    <row r="5" spans="1:16" x14ac:dyDescent="0.25">
      <c r="A5" s="1" t="s">
        <v>3</v>
      </c>
      <c r="B5" s="1">
        <v>4800000</v>
      </c>
      <c r="C5" s="1" t="s">
        <v>4</v>
      </c>
      <c r="E5" s="1" t="s">
        <v>48</v>
      </c>
      <c r="G5" s="1">
        <f>G4*$B$27</f>
        <v>42500</v>
      </c>
      <c r="H5" s="1">
        <f t="shared" ref="H5:P5" si="1">H4*$B$27</f>
        <v>44200</v>
      </c>
      <c r="I5" s="1">
        <f t="shared" si="1"/>
        <v>45968</v>
      </c>
      <c r="J5" s="1">
        <f t="shared" si="1"/>
        <v>47806.720000000001</v>
      </c>
      <c r="K5" s="1">
        <f t="shared" si="1"/>
        <v>49718.988800000006</v>
      </c>
      <c r="L5" s="1">
        <f t="shared" si="1"/>
        <v>51707.74835200001</v>
      </c>
      <c r="M5" s="1">
        <f t="shared" si="1"/>
        <v>53776.058286080013</v>
      </c>
      <c r="N5" s="1">
        <f t="shared" si="1"/>
        <v>55927.100617523218</v>
      </c>
      <c r="O5" s="1">
        <f t="shared" si="1"/>
        <v>58164.184642224143</v>
      </c>
      <c r="P5" s="1">
        <f t="shared" si="1"/>
        <v>60490.752027913113</v>
      </c>
    </row>
    <row r="6" spans="1:16" x14ac:dyDescent="0.25">
      <c r="E6" s="1" t="s">
        <v>49</v>
      </c>
      <c r="G6" s="1">
        <f>G4+G5-0</f>
        <v>892500</v>
      </c>
      <c r="H6" s="1">
        <f>H5+H4-G10</f>
        <v>904390.47619047621</v>
      </c>
      <c r="I6" s="1">
        <f t="shared" ref="I6:P6" si="2">I5+I4-H10</f>
        <v>928479.92743764177</v>
      </c>
      <c r="J6" s="1">
        <f t="shared" si="2"/>
        <v>957973.12</v>
      </c>
      <c r="K6" s="1">
        <f t="shared" si="2"/>
        <v>996292.04480000015</v>
      </c>
      <c r="L6" s="1">
        <f t="shared" si="2"/>
        <v>1036143.726592</v>
      </c>
      <c r="M6" s="1">
        <f t="shared" si="2"/>
        <v>1079310.6054933944</v>
      </c>
      <c r="N6" s="1">
        <f t="shared" si="2"/>
        <v>1124469.750181593</v>
      </c>
      <c r="O6" s="1">
        <f t="shared" si="2"/>
        <v>1171447.907830212</v>
      </c>
      <c r="P6" s="1">
        <f t="shared" si="2"/>
        <v>1220305.7940311041</v>
      </c>
    </row>
    <row r="7" spans="1:16" x14ac:dyDescent="0.25">
      <c r="A7" s="1" t="s">
        <v>5</v>
      </c>
      <c r="E7" s="1" t="s">
        <v>50</v>
      </c>
      <c r="G7" s="1">
        <f>$B$16*$B$17</f>
        <v>500000</v>
      </c>
      <c r="H7" s="1">
        <f>$B$16*$B$18</f>
        <v>750000</v>
      </c>
      <c r="I7" s="1">
        <f>$B$16</f>
        <v>1000000</v>
      </c>
      <c r="J7" s="1">
        <f t="shared" ref="J7:P7" si="3">$B$16</f>
        <v>1000000</v>
      </c>
      <c r="K7" s="1">
        <f t="shared" si="3"/>
        <v>1000000</v>
      </c>
      <c r="L7" s="1">
        <f t="shared" si="3"/>
        <v>1000000</v>
      </c>
      <c r="M7" s="1">
        <f t="shared" si="3"/>
        <v>1000000</v>
      </c>
      <c r="N7" s="1">
        <f t="shared" si="3"/>
        <v>1000000</v>
      </c>
      <c r="O7" s="1">
        <f t="shared" si="3"/>
        <v>1000000</v>
      </c>
      <c r="P7" s="1">
        <f t="shared" si="3"/>
        <v>1000000</v>
      </c>
    </row>
    <row r="8" spans="1:16" x14ac:dyDescent="0.25">
      <c r="A8" s="1" t="s">
        <v>6</v>
      </c>
      <c r="B8" s="1">
        <v>1500000</v>
      </c>
      <c r="C8" s="1" t="s">
        <v>4</v>
      </c>
      <c r="E8" s="1" t="s">
        <v>51</v>
      </c>
      <c r="G8" s="1">
        <f>MIN(G6:G7)</f>
        <v>500000</v>
      </c>
      <c r="H8" s="1">
        <f t="shared" ref="H8:P8" si="4">MIN(H6:H7)</f>
        <v>750000</v>
      </c>
      <c r="I8" s="1">
        <f t="shared" si="4"/>
        <v>928479.92743764177</v>
      </c>
      <c r="J8" s="1">
        <f t="shared" si="4"/>
        <v>957973.12</v>
      </c>
      <c r="K8" s="1">
        <f t="shared" si="4"/>
        <v>996292.04480000015</v>
      </c>
      <c r="L8" s="1">
        <f t="shared" si="4"/>
        <v>1000000</v>
      </c>
      <c r="M8" s="1">
        <f t="shared" si="4"/>
        <v>1000000</v>
      </c>
      <c r="N8" s="1">
        <f t="shared" si="4"/>
        <v>1000000</v>
      </c>
      <c r="O8" s="1">
        <f t="shared" si="4"/>
        <v>1000000</v>
      </c>
      <c r="P8" s="1">
        <f t="shared" si="4"/>
        <v>1000000</v>
      </c>
    </row>
    <row r="9" spans="1:16" x14ac:dyDescent="0.25">
      <c r="A9" s="1" t="s">
        <v>7</v>
      </c>
      <c r="B9" s="1">
        <v>1000000</v>
      </c>
      <c r="C9" s="1" t="s">
        <v>4</v>
      </c>
      <c r="E9" s="1" t="s">
        <v>52</v>
      </c>
      <c r="G9" s="1">
        <f>(G8+0)/(1+$B$27)</f>
        <v>476190.47619047615</v>
      </c>
      <c r="H9" s="1">
        <f>(H8+G10)/(1+$B$27)</f>
        <v>736961.45124716545</v>
      </c>
      <c r="I9" s="1">
        <f t="shared" ref="I9:P9" si="5">(I8+H10)/(1+$B$27)</f>
        <v>919360</v>
      </c>
      <c r="J9" s="1">
        <f t="shared" si="5"/>
        <v>956134.39999999991</v>
      </c>
      <c r="K9" s="1">
        <f t="shared" si="5"/>
        <v>994379.77600000007</v>
      </c>
      <c r="L9" s="1">
        <f t="shared" si="5"/>
        <v>999732.37028571416</v>
      </c>
      <c r="M9" s="1">
        <f t="shared" si="5"/>
        <v>999987.25572789111</v>
      </c>
      <c r="N9" s="1">
        <f t="shared" si="5"/>
        <v>999999.39312989952</v>
      </c>
      <c r="O9" s="1">
        <f t="shared" si="5"/>
        <v>999999.97110142373</v>
      </c>
      <c r="P9" s="1">
        <f t="shared" si="5"/>
        <v>999999.9986238773</v>
      </c>
    </row>
    <row r="10" spans="1:16" x14ac:dyDescent="0.25">
      <c r="E10" s="1" t="s">
        <v>53</v>
      </c>
      <c r="G10" s="1">
        <f>G9*$B$27</f>
        <v>23809.523809523809</v>
      </c>
      <c r="H10" s="1">
        <f>H9*$B$27</f>
        <v>36848.072562358277</v>
      </c>
      <c r="I10" s="1">
        <f t="shared" ref="I10:P10" si="6">I9*$B$27</f>
        <v>45968</v>
      </c>
      <c r="J10" s="1">
        <f t="shared" si="6"/>
        <v>47806.720000000001</v>
      </c>
      <c r="K10" s="1">
        <f t="shared" si="6"/>
        <v>49718.988800000006</v>
      </c>
      <c r="L10" s="1">
        <f t="shared" si="6"/>
        <v>49986.618514285714</v>
      </c>
      <c r="M10" s="1">
        <f t="shared" si="6"/>
        <v>49999.362786394558</v>
      </c>
      <c r="N10" s="1">
        <f t="shared" si="6"/>
        <v>49999.969656494977</v>
      </c>
      <c r="O10" s="1">
        <f t="shared" si="6"/>
        <v>49999.998555071186</v>
      </c>
      <c r="P10" s="1">
        <f t="shared" si="6"/>
        <v>49999.999931193866</v>
      </c>
    </row>
    <row r="11" spans="1:16" x14ac:dyDescent="0.25">
      <c r="A11" s="1" t="s">
        <v>8</v>
      </c>
    </row>
    <row r="12" spans="1:16" x14ac:dyDescent="0.25">
      <c r="A12" s="1" t="s">
        <v>3</v>
      </c>
      <c r="B12" s="1">
        <v>39</v>
      </c>
      <c r="C12" s="1" t="s">
        <v>9</v>
      </c>
      <c r="E12" s="1" t="s">
        <v>54</v>
      </c>
      <c r="G12" s="1">
        <f>$B$34</f>
        <v>10</v>
      </c>
      <c r="H12" s="1">
        <f>G12*(1+$B$35)</f>
        <v>10.1</v>
      </c>
      <c r="I12" s="1">
        <f t="shared" ref="I12:P12" si="7">H12*(1+$B$35)</f>
        <v>10.201000000000001</v>
      </c>
      <c r="J12" s="1">
        <f t="shared" si="7"/>
        <v>10.30301</v>
      </c>
      <c r="K12" s="1">
        <f t="shared" si="7"/>
        <v>10.4060401</v>
      </c>
      <c r="L12" s="1">
        <f t="shared" si="7"/>
        <v>10.510100501</v>
      </c>
      <c r="M12" s="1">
        <f t="shared" si="7"/>
        <v>10.615201506010001</v>
      </c>
      <c r="N12" s="1">
        <f t="shared" si="7"/>
        <v>10.721353521070101</v>
      </c>
      <c r="O12" s="1">
        <f t="shared" si="7"/>
        <v>10.828567056280802</v>
      </c>
      <c r="P12" s="1">
        <f t="shared" si="7"/>
        <v>10.936852726843609</v>
      </c>
    </row>
    <row r="13" spans="1:16" x14ac:dyDescent="0.25">
      <c r="A13" s="1" t="s">
        <v>10</v>
      </c>
      <c r="B13" s="1">
        <v>12</v>
      </c>
      <c r="C13" s="1" t="s">
        <v>9</v>
      </c>
      <c r="E13" s="1" t="s">
        <v>55</v>
      </c>
      <c r="G13" s="1">
        <f>G9*G12</f>
        <v>4761904.7619047612</v>
      </c>
      <c r="H13" s="1">
        <f>H9*H12</f>
        <v>7443310.6575963711</v>
      </c>
      <c r="I13" s="1">
        <f t="shared" ref="I13:P13" si="8">I9*I12</f>
        <v>9378391.3600000013</v>
      </c>
      <c r="J13" s="1">
        <f t="shared" si="8"/>
        <v>9851062.2845439985</v>
      </c>
      <c r="K13" s="1">
        <f t="shared" si="8"/>
        <v>10347555.823685018</v>
      </c>
      <c r="L13" s="1">
        <f t="shared" si="8"/>
        <v>10507287.685805801</v>
      </c>
      <c r="M13" s="1">
        <f t="shared" si="8"/>
        <v>10615066.222993517</v>
      </c>
      <c r="N13" s="1">
        <f t="shared" si="8"/>
        <v>10721347.014601212</v>
      </c>
      <c r="O13" s="1">
        <f t="shared" si="8"/>
        <v>10828566.743350631</v>
      </c>
      <c r="P13" s="1">
        <f t="shared" si="8"/>
        <v>10936852.711793158</v>
      </c>
    </row>
    <row r="15" spans="1:16" x14ac:dyDescent="0.25">
      <c r="A15" s="1" t="s">
        <v>11</v>
      </c>
      <c r="E15" s="1" t="s">
        <v>56</v>
      </c>
      <c r="G15" s="1">
        <f>$B$21</f>
        <v>1000000</v>
      </c>
      <c r="H15" s="1">
        <f>G15*(1+$B$23)</f>
        <v>1020000</v>
      </c>
      <c r="I15" s="1">
        <f t="shared" ref="I15:P15" si="9">H15*(1+$B$23)</f>
        <v>1040400</v>
      </c>
      <c r="J15" s="1">
        <f t="shared" si="9"/>
        <v>1061208</v>
      </c>
      <c r="K15" s="1">
        <f t="shared" si="9"/>
        <v>1082432.1599999999</v>
      </c>
      <c r="L15" s="1">
        <f t="shared" si="9"/>
        <v>1104080.8032</v>
      </c>
      <c r="M15" s="1">
        <f t="shared" si="9"/>
        <v>1126162.4192639999</v>
      </c>
      <c r="N15" s="1">
        <f t="shared" si="9"/>
        <v>1148685.6676492798</v>
      </c>
      <c r="O15" s="1">
        <f t="shared" si="9"/>
        <v>1171659.3810022655</v>
      </c>
      <c r="P15" s="1">
        <f t="shared" si="9"/>
        <v>1195092.5686223109</v>
      </c>
    </row>
    <row r="16" spans="1:16" x14ac:dyDescent="0.25">
      <c r="A16" s="1" t="s">
        <v>12</v>
      </c>
      <c r="B16" s="1">
        <v>1000000</v>
      </c>
      <c r="C16" s="1" t="s">
        <v>13</v>
      </c>
      <c r="E16" s="1" t="s">
        <v>57</v>
      </c>
      <c r="G16" s="1">
        <f>$B$22</f>
        <v>5</v>
      </c>
      <c r="H16" s="1">
        <f>G16*(1+$B$23)</f>
        <v>5.0999999999999996</v>
      </c>
      <c r="I16" s="1">
        <f t="shared" ref="I16:P16" si="10">H16*(1+$B$23)</f>
        <v>5.202</v>
      </c>
      <c r="J16" s="1">
        <f t="shared" si="10"/>
        <v>5.3060400000000003</v>
      </c>
      <c r="K16" s="1">
        <f t="shared" si="10"/>
        <v>5.4121608000000005</v>
      </c>
      <c r="L16" s="1">
        <f t="shared" si="10"/>
        <v>5.5204040160000005</v>
      </c>
      <c r="M16" s="1">
        <f t="shared" si="10"/>
        <v>5.6308120963200006</v>
      </c>
      <c r="N16" s="1">
        <f t="shared" si="10"/>
        <v>5.7434283382464004</v>
      </c>
      <c r="O16" s="1">
        <f t="shared" si="10"/>
        <v>5.8582969050113283</v>
      </c>
      <c r="P16" s="1">
        <f t="shared" si="10"/>
        <v>5.9754628431115551</v>
      </c>
    </row>
    <row r="17" spans="1:16" x14ac:dyDescent="0.25">
      <c r="A17" s="1" t="s">
        <v>14</v>
      </c>
      <c r="B17" s="5">
        <v>0.5</v>
      </c>
      <c r="E17" s="1" t="s">
        <v>58</v>
      </c>
      <c r="G17" s="1">
        <f>G8*G16</f>
        <v>2500000</v>
      </c>
      <c r="H17" s="1">
        <f t="shared" ref="H17:P17" si="11">H8*H16</f>
        <v>3824999.9999999995</v>
      </c>
      <c r="I17" s="1">
        <f t="shared" si="11"/>
        <v>4829952.5825306121</v>
      </c>
      <c r="J17" s="1">
        <f t="shared" si="11"/>
        <v>5083043.6936448002</v>
      </c>
      <c r="K17" s="1">
        <f t="shared" si="11"/>
        <v>5392092.7502184054</v>
      </c>
      <c r="L17" s="1">
        <f t="shared" si="11"/>
        <v>5520404.0160000008</v>
      </c>
      <c r="M17" s="1">
        <f t="shared" si="11"/>
        <v>5630812.0963200005</v>
      </c>
      <c r="N17" s="1">
        <f t="shared" si="11"/>
        <v>5743428.3382464005</v>
      </c>
      <c r="O17" s="1">
        <f t="shared" si="11"/>
        <v>5858296.9050113279</v>
      </c>
      <c r="P17" s="1">
        <f t="shared" si="11"/>
        <v>5975462.8431115551</v>
      </c>
    </row>
    <row r="18" spans="1:16" x14ac:dyDescent="0.25">
      <c r="A18" s="1" t="s">
        <v>15</v>
      </c>
      <c r="B18" s="5">
        <v>0.75</v>
      </c>
      <c r="E18" s="1" t="s">
        <v>59</v>
      </c>
      <c r="G18" s="1">
        <f>G15+G17</f>
        <v>3500000</v>
      </c>
      <c r="H18" s="1">
        <f t="shared" ref="H18:P18" si="12">H15+H17</f>
        <v>4845000</v>
      </c>
      <c r="I18" s="1">
        <f t="shared" si="12"/>
        <v>5870352.5825306121</v>
      </c>
      <c r="J18" s="1">
        <f t="shared" si="12"/>
        <v>6144251.6936448002</v>
      </c>
      <c r="K18" s="1">
        <f t="shared" si="12"/>
        <v>6474524.9102184055</v>
      </c>
      <c r="L18" s="1">
        <f t="shared" si="12"/>
        <v>6624484.8192000007</v>
      </c>
      <c r="M18" s="1">
        <f t="shared" si="12"/>
        <v>6756974.5155840004</v>
      </c>
      <c r="N18" s="1">
        <f t="shared" si="12"/>
        <v>6892114.0058956798</v>
      </c>
      <c r="O18" s="1">
        <f t="shared" si="12"/>
        <v>7029956.2860135939</v>
      </c>
      <c r="P18" s="1">
        <f t="shared" si="12"/>
        <v>7170555.4117338657</v>
      </c>
    </row>
    <row r="19" spans="1:16" x14ac:dyDescent="0.25">
      <c r="E19" s="1" t="s">
        <v>60</v>
      </c>
      <c r="G19" s="1">
        <f>G18/G8</f>
        <v>7</v>
      </c>
      <c r="H19" s="1">
        <f t="shared" ref="H19:P19" si="13">H18/H8</f>
        <v>6.46</v>
      </c>
      <c r="I19" s="1">
        <f t="shared" si="13"/>
        <v>6.3225411870036083</v>
      </c>
      <c r="J19" s="1">
        <f t="shared" si="13"/>
        <v>6.4138038587604633</v>
      </c>
      <c r="K19" s="1">
        <f t="shared" si="13"/>
        <v>6.498621507630455</v>
      </c>
      <c r="L19" s="1">
        <f t="shared" si="13"/>
        <v>6.624484819200001</v>
      </c>
      <c r="M19" s="1">
        <f t="shared" si="13"/>
        <v>6.756974515584</v>
      </c>
      <c r="N19" s="1">
        <f t="shared" si="13"/>
        <v>6.8921140058956798</v>
      </c>
      <c r="O19" s="1">
        <f t="shared" si="13"/>
        <v>7.0299562860135936</v>
      </c>
      <c r="P19" s="1">
        <f t="shared" si="13"/>
        <v>7.1705554117338659</v>
      </c>
    </row>
    <row r="20" spans="1:16" x14ac:dyDescent="0.25">
      <c r="A20" s="1" t="s">
        <v>16</v>
      </c>
      <c r="E20" s="1" t="s">
        <v>61</v>
      </c>
      <c r="G20" s="1">
        <f>G19*G9</f>
        <v>3333333.333333333</v>
      </c>
      <c r="H20" s="1">
        <f>G24+(H9-G10)*H19</f>
        <v>4773628.117913832</v>
      </c>
      <c r="I20" s="1">
        <f t="shared" ref="I20:P20" si="14">H24+(I9-H10)*I19</f>
        <v>5817756.5579992644</v>
      </c>
      <c r="J20" s="1">
        <f t="shared" si="14"/>
        <v>6128263.3417183002</v>
      </c>
      <c r="K20" s="1">
        <f t="shared" si="14"/>
        <v>6458042.9454757683</v>
      </c>
      <c r="L20" s="1">
        <f t="shared" si="14"/>
        <v>6616454.1136422902</v>
      </c>
      <c r="M20" s="1">
        <f t="shared" si="14"/>
        <v>6750265.690951921</v>
      </c>
      <c r="N20" s="1">
        <f t="shared" si="14"/>
        <v>6885352.9348748988</v>
      </c>
      <c r="O20" s="1">
        <f t="shared" si="14"/>
        <v>7023063.9730345877</v>
      </c>
      <c r="P20" s="1">
        <f t="shared" si="14"/>
        <v>7163525.4457834437</v>
      </c>
    </row>
    <row r="21" spans="1:16" x14ac:dyDescent="0.25">
      <c r="A21" s="1" t="s">
        <v>17</v>
      </c>
      <c r="B21" s="1">
        <v>1000000</v>
      </c>
      <c r="C21" s="1" t="s">
        <v>4</v>
      </c>
      <c r="E21" s="1" t="s">
        <v>21</v>
      </c>
      <c r="G21" s="1">
        <f>$B$24*G13</f>
        <v>95238.095238095222</v>
      </c>
      <c r="H21" s="1">
        <f>$B$24*H13</f>
        <v>148866.21315192743</v>
      </c>
      <c r="I21" s="1">
        <f t="shared" ref="I21:P21" si="15">$B$24*I13</f>
        <v>187567.82720000003</v>
      </c>
      <c r="J21" s="1">
        <f t="shared" si="15"/>
        <v>197021.24569087996</v>
      </c>
      <c r="K21" s="1">
        <f t="shared" si="15"/>
        <v>206951.11647370039</v>
      </c>
      <c r="L21" s="1">
        <f t="shared" si="15"/>
        <v>210145.75371611604</v>
      </c>
      <c r="M21" s="1">
        <f t="shared" si="15"/>
        <v>212301.32445987035</v>
      </c>
      <c r="N21" s="1">
        <f t="shared" si="15"/>
        <v>214426.94029202426</v>
      </c>
      <c r="O21" s="1">
        <f t="shared" si="15"/>
        <v>216571.33486701263</v>
      </c>
      <c r="P21" s="1">
        <f t="shared" si="15"/>
        <v>218737.05423586318</v>
      </c>
    </row>
    <row r="22" spans="1:16" x14ac:dyDescent="0.25">
      <c r="A22" s="1" t="s">
        <v>18</v>
      </c>
      <c r="B22" s="1">
        <v>5</v>
      </c>
      <c r="C22" s="1" t="s">
        <v>19</v>
      </c>
    </row>
    <row r="23" spans="1:16" x14ac:dyDescent="0.25">
      <c r="A23" s="1" t="s">
        <v>20</v>
      </c>
      <c r="B23" s="5">
        <v>0.02</v>
      </c>
      <c r="E23" s="1" t="s">
        <v>62</v>
      </c>
    </row>
    <row r="24" spans="1:16" x14ac:dyDescent="0.25">
      <c r="A24" s="1" t="s">
        <v>21</v>
      </c>
      <c r="B24" s="5">
        <v>0.02</v>
      </c>
      <c r="C24" s="1" t="s">
        <v>22</v>
      </c>
      <c r="E24" s="1" t="s">
        <v>63</v>
      </c>
      <c r="G24" s="1">
        <f>G10*G19</f>
        <v>166666.66666666666</v>
      </c>
      <c r="H24" s="1">
        <f t="shared" ref="H24:P24" si="16">H10*H19</f>
        <v>238038.54875283447</v>
      </c>
      <c r="I24" s="1">
        <f t="shared" si="16"/>
        <v>290634.57328418188</v>
      </c>
      <c r="J24" s="1">
        <f t="shared" si="16"/>
        <v>306622.92521068105</v>
      </c>
      <c r="K24" s="1">
        <f t="shared" si="16"/>
        <v>323104.88995331776</v>
      </c>
      <c r="L24" s="1">
        <f t="shared" si="16"/>
        <v>331135.59551102744</v>
      </c>
      <c r="M24" s="1">
        <f t="shared" si="16"/>
        <v>337844.42014310707</v>
      </c>
      <c r="N24" s="1">
        <f t="shared" si="16"/>
        <v>344605.49116388801</v>
      </c>
      <c r="O24" s="1">
        <f t="shared" si="16"/>
        <v>351497.80414289329</v>
      </c>
      <c r="P24" s="1">
        <f t="shared" si="16"/>
        <v>358527.77009331511</v>
      </c>
    </row>
    <row r="25" spans="1:16" x14ac:dyDescent="0.25">
      <c r="E25" s="1" t="s">
        <v>64</v>
      </c>
      <c r="G25" s="1">
        <f>$B$29*G17</f>
        <v>250000</v>
      </c>
      <c r="H25" s="1">
        <f t="shared" ref="H25:P25" si="17">$B$29*H17</f>
        <v>382500</v>
      </c>
      <c r="I25" s="1">
        <f t="shared" si="17"/>
        <v>482995.25825306121</v>
      </c>
      <c r="J25" s="1">
        <f t="shared" si="17"/>
        <v>508304.36936448002</v>
      </c>
      <c r="K25" s="1">
        <f t="shared" si="17"/>
        <v>539209.27502184059</v>
      </c>
      <c r="L25" s="1">
        <f t="shared" si="17"/>
        <v>552040.4016000001</v>
      </c>
      <c r="M25" s="1">
        <f t="shared" si="17"/>
        <v>563081.20963200007</v>
      </c>
      <c r="N25" s="1">
        <f t="shared" si="17"/>
        <v>574342.83382464002</v>
      </c>
      <c r="O25" s="1">
        <f t="shared" si="17"/>
        <v>585829.69050113286</v>
      </c>
      <c r="P25" s="1">
        <f t="shared" si="17"/>
        <v>597546.28431115556</v>
      </c>
    </row>
    <row r="26" spans="1:16" x14ac:dyDescent="0.25">
      <c r="A26" s="1" t="s">
        <v>23</v>
      </c>
      <c r="E26" s="1" t="s">
        <v>65</v>
      </c>
      <c r="G26" s="1">
        <f>$B$29*G13</f>
        <v>476190.47619047615</v>
      </c>
      <c r="H26" s="1">
        <f t="shared" ref="H26:P26" si="18">$B$29*H13</f>
        <v>744331.06575963716</v>
      </c>
      <c r="I26" s="1">
        <f t="shared" si="18"/>
        <v>937839.13600000017</v>
      </c>
      <c r="J26" s="1">
        <f t="shared" si="18"/>
        <v>985106.22845439985</v>
      </c>
      <c r="K26" s="1">
        <f t="shared" si="18"/>
        <v>1034755.5823685019</v>
      </c>
      <c r="L26" s="1">
        <f t="shared" si="18"/>
        <v>1050728.7685805801</v>
      </c>
      <c r="M26" s="1">
        <f t="shared" si="18"/>
        <v>1061506.6222993517</v>
      </c>
      <c r="N26" s="1">
        <f t="shared" si="18"/>
        <v>1072134.7014601212</v>
      </c>
      <c r="O26" s="1">
        <f t="shared" si="18"/>
        <v>1082856.6743350632</v>
      </c>
      <c r="P26" s="1">
        <f t="shared" si="18"/>
        <v>1093685.2711793159</v>
      </c>
    </row>
    <row r="27" spans="1:16" x14ac:dyDescent="0.25">
      <c r="A27" s="1" t="s">
        <v>24</v>
      </c>
      <c r="B27" s="3">
        <v>0.05</v>
      </c>
      <c r="C27" s="1" t="s">
        <v>22</v>
      </c>
      <c r="E27" s="1" t="s">
        <v>66</v>
      </c>
      <c r="G27" s="1">
        <f>G24+G26-G25</f>
        <v>392857.14285714284</v>
      </c>
      <c r="H27" s="1">
        <f t="shared" ref="H27:P27" si="19">H24+H26-H25</f>
        <v>599869.6145124716</v>
      </c>
      <c r="I27" s="1">
        <f t="shared" si="19"/>
        <v>745478.45103112096</v>
      </c>
      <c r="J27" s="1">
        <f t="shared" si="19"/>
        <v>783424.78430060088</v>
      </c>
      <c r="K27" s="1">
        <f t="shared" si="19"/>
        <v>818651.19729997916</v>
      </c>
      <c r="L27" s="1">
        <f t="shared" si="19"/>
        <v>829823.96249160741</v>
      </c>
      <c r="M27" s="1">
        <f t="shared" si="19"/>
        <v>836269.83281045861</v>
      </c>
      <c r="N27" s="1">
        <f t="shared" si="19"/>
        <v>842397.35879936919</v>
      </c>
      <c r="O27" s="1">
        <f t="shared" si="19"/>
        <v>848524.78797682363</v>
      </c>
      <c r="P27" s="1">
        <f t="shared" si="19"/>
        <v>854666.75696147536</v>
      </c>
    </row>
    <row r="28" spans="1:16" x14ac:dyDescent="0.25">
      <c r="A28" s="1" t="s">
        <v>26</v>
      </c>
      <c r="B28" s="3">
        <v>0.1</v>
      </c>
      <c r="C28" s="1" t="s">
        <v>22</v>
      </c>
      <c r="E28" s="1" t="s">
        <v>67</v>
      </c>
      <c r="G28" s="1">
        <f>G27-F27</f>
        <v>392857.14285714284</v>
      </c>
      <c r="H28" s="1">
        <f t="shared" ref="H28:P28" si="20">H27-G27</f>
        <v>207012.47165532876</v>
      </c>
      <c r="I28" s="1">
        <f t="shared" si="20"/>
        <v>145608.83651864936</v>
      </c>
      <c r="J28" s="1">
        <f t="shared" si="20"/>
        <v>37946.333269479917</v>
      </c>
      <c r="K28" s="1">
        <f t="shared" si="20"/>
        <v>35226.412999378284</v>
      </c>
      <c r="L28" s="1">
        <f t="shared" si="20"/>
        <v>11172.765191628248</v>
      </c>
      <c r="M28" s="1">
        <f t="shared" si="20"/>
        <v>6445.8703188512009</v>
      </c>
      <c r="N28" s="1">
        <f t="shared" si="20"/>
        <v>6127.5259889105801</v>
      </c>
      <c r="O28" s="1">
        <f t="shared" si="20"/>
        <v>6127.4291774544399</v>
      </c>
      <c r="P28" s="1">
        <f t="shared" si="20"/>
        <v>6141.9689846517285</v>
      </c>
    </row>
    <row r="29" spans="1:16" x14ac:dyDescent="0.25">
      <c r="A29" s="1" t="s">
        <v>25</v>
      </c>
      <c r="B29" s="3">
        <v>0.1</v>
      </c>
      <c r="C29" s="1" t="s">
        <v>27</v>
      </c>
    </row>
    <row r="30" spans="1:16" x14ac:dyDescent="0.25">
      <c r="E30" s="1" t="s">
        <v>68</v>
      </c>
    </row>
    <row r="31" spans="1:16" x14ac:dyDescent="0.25">
      <c r="A31" s="1" t="s">
        <v>28</v>
      </c>
      <c r="E31" s="1" t="s">
        <v>2</v>
      </c>
      <c r="F31" s="1">
        <f>$B$4</f>
        <v>1200000</v>
      </c>
    </row>
    <row r="32" spans="1:16" x14ac:dyDescent="0.25">
      <c r="A32" s="1" t="s">
        <v>29</v>
      </c>
      <c r="B32" s="1">
        <v>850000</v>
      </c>
      <c r="C32" s="1" t="s">
        <v>13</v>
      </c>
      <c r="E32" s="1" t="s">
        <v>3</v>
      </c>
      <c r="F32" s="1">
        <f>$B$5</f>
        <v>4800000</v>
      </c>
    </row>
    <row r="33" spans="1:16" x14ac:dyDescent="0.25">
      <c r="A33" s="1" t="s">
        <v>20</v>
      </c>
      <c r="B33" s="3">
        <v>0.04</v>
      </c>
      <c r="E33" s="1" t="s">
        <v>69</v>
      </c>
      <c r="F33" s="1">
        <f>$B$8</f>
        <v>1500000</v>
      </c>
    </row>
    <row r="34" spans="1:16" x14ac:dyDescent="0.25">
      <c r="A34" s="1" t="s">
        <v>30</v>
      </c>
      <c r="B34" s="1">
        <v>10</v>
      </c>
      <c r="C34" s="1" t="s">
        <v>4</v>
      </c>
      <c r="E34" s="1" t="s">
        <v>70</v>
      </c>
      <c r="G34" s="1">
        <f>$B$9</f>
        <v>1000000</v>
      </c>
    </row>
    <row r="35" spans="1:16" x14ac:dyDescent="0.25">
      <c r="A35" s="1" t="s">
        <v>20</v>
      </c>
      <c r="B35" s="3">
        <v>0.01</v>
      </c>
    </row>
    <row r="36" spans="1:16" x14ac:dyDescent="0.25">
      <c r="E36" s="1" t="s">
        <v>71</v>
      </c>
    </row>
    <row r="37" spans="1:16" x14ac:dyDescent="0.25">
      <c r="A37" s="1" t="s">
        <v>31</v>
      </c>
      <c r="E37" s="1" t="s">
        <v>3</v>
      </c>
      <c r="G37" s="1">
        <f>$F$32/$B$12</f>
        <v>123076.92307692308</v>
      </c>
      <c r="H37" s="1">
        <f>$F$32/$B$12</f>
        <v>123076.92307692308</v>
      </c>
      <c r="I37" s="1">
        <f t="shared" ref="I37:P37" si="21">$F$32/$B$12</f>
        <v>123076.92307692308</v>
      </c>
      <c r="J37" s="1">
        <f t="shared" si="21"/>
        <v>123076.92307692308</v>
      </c>
      <c r="K37" s="1">
        <f t="shared" si="21"/>
        <v>123076.92307692308</v>
      </c>
      <c r="L37" s="1">
        <f t="shared" si="21"/>
        <v>123076.92307692308</v>
      </c>
      <c r="M37" s="1">
        <f t="shared" si="21"/>
        <v>123076.92307692308</v>
      </c>
      <c r="N37" s="1">
        <f t="shared" si="21"/>
        <v>123076.92307692308</v>
      </c>
      <c r="O37" s="1">
        <f t="shared" si="21"/>
        <v>123076.92307692308</v>
      </c>
      <c r="P37" s="1">
        <f t="shared" si="21"/>
        <v>123076.92307692308</v>
      </c>
    </row>
    <row r="38" spans="1:16" x14ac:dyDescent="0.25">
      <c r="A38" s="1" t="s">
        <v>32</v>
      </c>
      <c r="B38" s="1">
        <v>6500000</v>
      </c>
      <c r="E38" s="1" t="s">
        <v>69</v>
      </c>
      <c r="G38" s="1">
        <f>$F$33/$B$13</f>
        <v>125000</v>
      </c>
      <c r="H38" s="1">
        <f>$F$33/$B$13</f>
        <v>125000</v>
      </c>
      <c r="I38" s="1">
        <f t="shared" ref="I38:P38" si="22">$F$33/$B$13</f>
        <v>125000</v>
      </c>
      <c r="J38" s="1">
        <f t="shared" si="22"/>
        <v>125000</v>
      </c>
      <c r="K38" s="1">
        <f t="shared" si="22"/>
        <v>125000</v>
      </c>
      <c r="L38" s="1">
        <f t="shared" si="22"/>
        <v>125000</v>
      </c>
      <c r="M38" s="1">
        <f t="shared" si="22"/>
        <v>125000</v>
      </c>
      <c r="N38" s="1">
        <f t="shared" si="22"/>
        <v>125000</v>
      </c>
      <c r="O38" s="1">
        <f t="shared" si="22"/>
        <v>125000</v>
      </c>
      <c r="P38" s="1">
        <f t="shared" si="22"/>
        <v>125000</v>
      </c>
    </row>
    <row r="39" spans="1:16" x14ac:dyDescent="0.25">
      <c r="A39" s="1" t="s">
        <v>10</v>
      </c>
      <c r="B39" s="1" t="s">
        <v>33</v>
      </c>
      <c r="E39" s="1" t="s">
        <v>70</v>
      </c>
      <c r="H39" s="1">
        <f>$G$34/$B$13</f>
        <v>83333.333333333328</v>
      </c>
      <c r="I39" s="1">
        <f t="shared" ref="I39:P39" si="23">$G$34/$B$13</f>
        <v>83333.333333333328</v>
      </c>
      <c r="J39" s="1">
        <f t="shared" si="23"/>
        <v>83333.333333333328</v>
      </c>
      <c r="K39" s="1">
        <f t="shared" si="23"/>
        <v>83333.333333333328</v>
      </c>
      <c r="L39" s="1">
        <f t="shared" si="23"/>
        <v>83333.333333333328</v>
      </c>
      <c r="M39" s="1">
        <f t="shared" si="23"/>
        <v>83333.333333333328</v>
      </c>
      <c r="N39" s="1">
        <f t="shared" si="23"/>
        <v>83333.333333333328</v>
      </c>
      <c r="O39" s="1">
        <f t="shared" si="23"/>
        <v>83333.333333333328</v>
      </c>
      <c r="P39" s="1">
        <f t="shared" si="23"/>
        <v>83333.333333333328</v>
      </c>
    </row>
    <row r="40" spans="1:16" x14ac:dyDescent="0.25">
      <c r="A40" s="1" t="s">
        <v>34</v>
      </c>
      <c r="B40" s="1" t="s">
        <v>35</v>
      </c>
    </row>
    <row r="41" spans="1:16" x14ac:dyDescent="0.25">
      <c r="A41" s="1" t="s">
        <v>36</v>
      </c>
      <c r="B41" s="1" t="s">
        <v>33</v>
      </c>
      <c r="E41" s="1" t="s">
        <v>72</v>
      </c>
      <c r="G41" s="1">
        <f>G13-G20-G21-SUM(G37:G39)</f>
        <v>1085256.41025641</v>
      </c>
      <c r="H41" s="1">
        <f t="shared" ref="H41:P41" si="24">H13-H20-H21-SUM(H37:H39)</f>
        <v>2189406.0701203551</v>
      </c>
      <c r="I41" s="1">
        <f t="shared" si="24"/>
        <v>3041656.7183904801</v>
      </c>
      <c r="J41" s="1">
        <f t="shared" si="24"/>
        <v>3194367.4407245619</v>
      </c>
      <c r="K41" s="1">
        <f t="shared" si="24"/>
        <v>3351151.5053252932</v>
      </c>
      <c r="L41" s="1">
        <f t="shared" si="24"/>
        <v>3349277.5620371387</v>
      </c>
      <c r="M41" s="1">
        <f t="shared" si="24"/>
        <v>3321088.9511714694</v>
      </c>
      <c r="N41" s="1">
        <f t="shared" si="24"/>
        <v>3290156.8830240327</v>
      </c>
      <c r="O41" s="1">
        <f t="shared" si="24"/>
        <v>3257521.1790387738</v>
      </c>
      <c r="P41" s="1">
        <f t="shared" si="24"/>
        <v>3223179.9553635949</v>
      </c>
    </row>
    <row r="42" spans="1:16" x14ac:dyDescent="0.25">
      <c r="E42" s="1" t="s">
        <v>73</v>
      </c>
      <c r="G42" s="1">
        <f>G41*$B$44</f>
        <v>379839.74358974351</v>
      </c>
      <c r="H42" s="1">
        <f t="shared" ref="H42:P42" si="25">H41*$B$44</f>
        <v>766292.12454212422</v>
      </c>
      <c r="I42" s="1">
        <f t="shared" si="25"/>
        <v>1064579.8514366681</v>
      </c>
      <c r="J42" s="1">
        <f t="shared" si="25"/>
        <v>1118028.6042535966</v>
      </c>
      <c r="K42" s="1">
        <f t="shared" si="25"/>
        <v>1172903.0268638525</v>
      </c>
      <c r="L42" s="1">
        <f t="shared" si="25"/>
        <v>1172247.1467129984</v>
      </c>
      <c r="M42" s="1">
        <f t="shared" si="25"/>
        <v>1162381.1329100141</v>
      </c>
      <c r="N42" s="1">
        <f t="shared" si="25"/>
        <v>1151554.9090584114</v>
      </c>
      <c r="O42" s="1">
        <f t="shared" si="25"/>
        <v>1140132.4126635708</v>
      </c>
      <c r="P42" s="1">
        <f t="shared" si="25"/>
        <v>1128112.9843772582</v>
      </c>
    </row>
    <row r="43" spans="1:16" x14ac:dyDescent="0.25">
      <c r="A43" s="1" t="s">
        <v>37</v>
      </c>
    </row>
    <row r="44" spans="1:16" x14ac:dyDescent="0.25">
      <c r="A44" s="1" t="s">
        <v>38</v>
      </c>
      <c r="B44" s="4">
        <v>0.35</v>
      </c>
      <c r="E44" s="1" t="s">
        <v>31</v>
      </c>
    </row>
    <row r="45" spans="1:16" x14ac:dyDescent="0.25">
      <c r="A45" s="1" t="s">
        <v>39</v>
      </c>
      <c r="B45" s="4">
        <v>0.15</v>
      </c>
      <c r="E45" s="1" t="s">
        <v>74</v>
      </c>
      <c r="P45" s="1">
        <f>$B$38</f>
        <v>6500000</v>
      </c>
    </row>
    <row r="46" spans="1:16" x14ac:dyDescent="0.25">
      <c r="A46" s="1" t="s">
        <v>40</v>
      </c>
      <c r="B46" s="4">
        <v>0.25</v>
      </c>
      <c r="E46" s="1" t="s">
        <v>75</v>
      </c>
      <c r="P46" s="1">
        <f>(F31+F32)</f>
        <v>6000000</v>
      </c>
    </row>
    <row r="47" spans="1:16" x14ac:dyDescent="0.25">
      <c r="E47" s="1" t="s">
        <v>76</v>
      </c>
      <c r="P47" s="1">
        <f>SUM(G37:P37)</f>
        <v>1230769.2307692308</v>
      </c>
    </row>
    <row r="48" spans="1:16" x14ac:dyDescent="0.25">
      <c r="A48" s="1" t="s">
        <v>41</v>
      </c>
      <c r="E48" s="1" t="s">
        <v>77</v>
      </c>
      <c r="P48" s="1">
        <f>(P45-P46)*$B$45+P47*$B$46</f>
        <v>382692.30769230769</v>
      </c>
    </row>
    <row r="49" spans="1:16" x14ac:dyDescent="0.25">
      <c r="A49" s="1" t="s">
        <v>42</v>
      </c>
      <c r="B49" s="4">
        <v>0.5</v>
      </c>
      <c r="E49" s="1" t="s">
        <v>78</v>
      </c>
      <c r="P49" s="1">
        <f>P45-P48</f>
        <v>6117307.692307692</v>
      </c>
    </row>
    <row r="50" spans="1:16" x14ac:dyDescent="0.25">
      <c r="A50" s="1" t="s">
        <v>43</v>
      </c>
      <c r="B50" s="4">
        <v>7.0000000000000007E-2</v>
      </c>
    </row>
    <row r="51" spans="1:16" x14ac:dyDescent="0.25">
      <c r="A51" s="1" t="s">
        <v>44</v>
      </c>
      <c r="B51" s="4">
        <f>1-B49</f>
        <v>0.5</v>
      </c>
      <c r="E51" s="1" t="s">
        <v>79</v>
      </c>
      <c r="P51" s="1">
        <f>(F33-SUM(G38:P38)+G34-SUM(H39:P39))</f>
        <v>500000</v>
      </c>
    </row>
    <row r="52" spans="1:16" x14ac:dyDescent="0.25">
      <c r="A52" s="1" t="s">
        <v>45</v>
      </c>
      <c r="B52" s="4">
        <v>0.15</v>
      </c>
      <c r="E52" s="1" t="s">
        <v>77</v>
      </c>
      <c r="P52" s="1">
        <v>0</v>
      </c>
    </row>
    <row r="53" spans="1:16" x14ac:dyDescent="0.25">
      <c r="A53" s="1" t="s">
        <v>41</v>
      </c>
      <c r="B53" s="5">
        <f>B49*B50*(1-B44)+B51*B52</f>
        <v>9.7750000000000004E-2</v>
      </c>
      <c r="E53" s="1" t="s">
        <v>80</v>
      </c>
      <c r="P53" s="1">
        <f>P51-P52</f>
        <v>500000</v>
      </c>
    </row>
    <row r="55" spans="1:16" x14ac:dyDescent="0.25">
      <c r="E55" s="1" t="s">
        <v>81</v>
      </c>
      <c r="P55" s="1">
        <f>P10*P12</f>
        <v>546842.63558965793</v>
      </c>
    </row>
    <row r="56" spans="1:16" x14ac:dyDescent="0.25">
      <c r="E56" s="1" t="s">
        <v>82</v>
      </c>
      <c r="P56" s="1">
        <f>P24</f>
        <v>358527.77009331511</v>
      </c>
    </row>
    <row r="57" spans="1:16" x14ac:dyDescent="0.25">
      <c r="E57" s="1" t="s">
        <v>77</v>
      </c>
      <c r="P57" s="1">
        <f>(P55-P56)*B44</f>
        <v>65910.202923719989</v>
      </c>
    </row>
    <row r="58" spans="1:16" x14ac:dyDescent="0.25">
      <c r="E58" s="1" t="s">
        <v>83</v>
      </c>
      <c r="P58" s="1">
        <f>P55-P57</f>
        <v>480932.43266593793</v>
      </c>
    </row>
    <row r="60" spans="1:16" x14ac:dyDescent="0.25">
      <c r="E60" s="1" t="s">
        <v>84</v>
      </c>
      <c r="P60" s="1">
        <f>P26-P25</f>
        <v>496138.98686816031</v>
      </c>
    </row>
    <row r="61" spans="1:16" x14ac:dyDescent="0.25">
      <c r="E61" s="1" t="s">
        <v>77</v>
      </c>
      <c r="P61" s="1">
        <v>0</v>
      </c>
    </row>
    <row r="62" spans="1:16" x14ac:dyDescent="0.25">
      <c r="E62" s="1" t="s">
        <v>85</v>
      </c>
      <c r="P62" s="1">
        <f>P60-P61</f>
        <v>496138.98686816031</v>
      </c>
    </row>
    <row r="64" spans="1:16" x14ac:dyDescent="0.25">
      <c r="E64" s="1" t="s">
        <v>86</v>
      </c>
      <c r="G64" s="1">
        <f>G41-G42+SUM(G37:G39)-G28-G34</f>
        <v>-439363.55311355332</v>
      </c>
      <c r="H64" s="1">
        <f t="shared" ref="H64:P64" si="26">H41-H42+SUM(H37:H39)-H28-H34</f>
        <v>1547511.7303331587</v>
      </c>
      <c r="I64" s="1">
        <f t="shared" si="26"/>
        <v>2162878.2868454191</v>
      </c>
      <c r="J64" s="1">
        <f t="shared" si="26"/>
        <v>2369802.7596117416</v>
      </c>
      <c r="K64" s="1">
        <f t="shared" si="26"/>
        <v>2474432.3218723191</v>
      </c>
      <c r="L64" s="1">
        <f t="shared" si="26"/>
        <v>2497267.9065427687</v>
      </c>
      <c r="M64" s="1">
        <f t="shared" si="26"/>
        <v>2483672.2043528603</v>
      </c>
      <c r="N64" s="1">
        <f t="shared" si="26"/>
        <v>2463884.7043869672</v>
      </c>
      <c r="O64" s="1">
        <f t="shared" si="26"/>
        <v>2442671.593608005</v>
      </c>
      <c r="P64" s="1">
        <f t="shared" si="26"/>
        <v>2420335.2584119411</v>
      </c>
    </row>
    <row r="65" spans="5:16" x14ac:dyDescent="0.25">
      <c r="E65" s="1" t="s">
        <v>87</v>
      </c>
      <c r="P65" s="1">
        <f>P62+P58+P53+P49</f>
        <v>7594379.1118417904</v>
      </c>
    </row>
    <row r="66" spans="5:16" x14ac:dyDescent="0.25">
      <c r="E66" s="1" t="s">
        <v>88</v>
      </c>
      <c r="F66" s="1">
        <f>-SUM(F31:F33)</f>
        <v>-7500000</v>
      </c>
      <c r="G66" s="1">
        <f>G64+G65</f>
        <v>-439363.55311355332</v>
      </c>
      <c r="H66" s="1">
        <f t="shared" ref="H66:P66" si="27">H64+H65</f>
        <v>1547511.7303331587</v>
      </c>
      <c r="I66" s="1">
        <f t="shared" si="27"/>
        <v>2162878.2868454191</v>
      </c>
      <c r="J66" s="1">
        <f t="shared" si="27"/>
        <v>2369802.7596117416</v>
      </c>
      <c r="K66" s="1">
        <f t="shared" si="27"/>
        <v>2474432.3218723191</v>
      </c>
      <c r="L66" s="1">
        <f t="shared" si="27"/>
        <v>2497267.9065427687</v>
      </c>
      <c r="M66" s="1">
        <f t="shared" si="27"/>
        <v>2483672.2043528603</v>
      </c>
      <c r="N66" s="1">
        <f t="shared" si="27"/>
        <v>2463884.7043869672</v>
      </c>
      <c r="O66" s="1">
        <f t="shared" si="27"/>
        <v>2442671.593608005</v>
      </c>
      <c r="P66" s="1">
        <f t="shared" si="27"/>
        <v>10014714.370253731</v>
      </c>
    </row>
    <row r="67" spans="5:16" x14ac:dyDescent="0.25">
      <c r="E67" s="1" t="s">
        <v>89</v>
      </c>
      <c r="F67" s="1">
        <f>F66+NPV(F79,G66:P66)</f>
        <v>7087678.2452782169</v>
      </c>
      <c r="G67" s="1">
        <f>NPV($F$79,H66:P66)</f>
        <v>16452987.346867716</v>
      </c>
      <c r="H67" s="1">
        <f t="shared" ref="H67:O67" si="28">NPV($F$79,I66:Q66)</f>
        <v>16513755.129690873</v>
      </c>
      <c r="I67" s="1">
        <f t="shared" si="28"/>
        <v>15965096.40677274</v>
      </c>
      <c r="J67" s="1">
        <f t="shared" si="28"/>
        <v>15155881.820923034</v>
      </c>
      <c r="K67" s="1">
        <f t="shared" si="28"/>
        <v>14162936.947045943</v>
      </c>
      <c r="L67" s="1">
        <f t="shared" si="28"/>
        <v>13050096.127076913</v>
      </c>
      <c r="M67" s="1">
        <f t="shared" si="28"/>
        <v>11842070.819145819</v>
      </c>
      <c r="N67" s="1">
        <f t="shared" si="28"/>
        <v>10535748.537330359</v>
      </c>
      <c r="O67" s="1">
        <f t="shared" si="28"/>
        <v>9122946.3632463962</v>
      </c>
      <c r="P67" s="1">
        <f>P65</f>
        <v>7594379.1118417904</v>
      </c>
    </row>
    <row r="69" spans="5:16" x14ac:dyDescent="0.25">
      <c r="E69" s="1" t="s">
        <v>90</v>
      </c>
    </row>
    <row r="70" spans="5:16" x14ac:dyDescent="0.25">
      <c r="E70" s="1" t="s">
        <v>91</v>
      </c>
      <c r="F70" s="1">
        <f>G78*(F80-F66)</f>
        <v>7293839.1226391084</v>
      </c>
      <c r="G70" s="1">
        <f>G67*$G$78</f>
        <v>8226493.673433858</v>
      </c>
      <c r="H70" s="1">
        <f t="shared" ref="H70:P70" si="29">H67*$G$78</f>
        <v>8256877.5648454363</v>
      </c>
      <c r="I70" s="1">
        <f t="shared" si="29"/>
        <v>7982548.2033863701</v>
      </c>
      <c r="J70" s="1">
        <f t="shared" si="29"/>
        <v>7577940.9104615171</v>
      </c>
      <c r="K70" s="1">
        <f t="shared" si="29"/>
        <v>7081468.4735229714</v>
      </c>
      <c r="L70" s="1">
        <f t="shared" si="29"/>
        <v>6525048.0635384563</v>
      </c>
      <c r="M70" s="1">
        <f t="shared" si="29"/>
        <v>5921035.4095729096</v>
      </c>
      <c r="N70" s="1">
        <f t="shared" si="29"/>
        <v>5267874.2686651796</v>
      </c>
      <c r="O70" s="1">
        <f t="shared" si="29"/>
        <v>4561473.1816231981</v>
      </c>
      <c r="P70" s="1">
        <f t="shared" si="29"/>
        <v>3797189.5559208952</v>
      </c>
    </row>
    <row r="71" spans="5:16" x14ac:dyDescent="0.25">
      <c r="E71" s="1" t="s">
        <v>92</v>
      </c>
      <c r="G71" s="1">
        <f>F70*$B$50</f>
        <v>510568.73858473764</v>
      </c>
      <c r="H71" s="1">
        <f>G70*$B$50</f>
        <v>575854.55714037013</v>
      </c>
      <c r="I71" s="1">
        <f t="shared" ref="I71:P71" si="30">H70*$B$50</f>
        <v>577981.42953918059</v>
      </c>
      <c r="J71" s="1">
        <f t="shared" si="30"/>
        <v>558778.37423704599</v>
      </c>
      <c r="K71" s="1">
        <f t="shared" si="30"/>
        <v>530455.86373230629</v>
      </c>
      <c r="L71" s="1">
        <f t="shared" si="30"/>
        <v>495702.79314660805</v>
      </c>
      <c r="M71" s="1">
        <f t="shared" si="30"/>
        <v>456753.364447692</v>
      </c>
      <c r="N71" s="1">
        <f t="shared" si="30"/>
        <v>414472.47867010371</v>
      </c>
      <c r="O71" s="1">
        <f t="shared" si="30"/>
        <v>368751.19880656264</v>
      </c>
      <c r="P71" s="1">
        <f t="shared" si="30"/>
        <v>319303.12271362392</v>
      </c>
    </row>
    <row r="72" spans="5:16" x14ac:dyDescent="0.25">
      <c r="E72" s="1" t="s">
        <v>93</v>
      </c>
      <c r="G72" s="1">
        <f>G71</f>
        <v>510568.73858473764</v>
      </c>
      <c r="H72" s="1">
        <f>H71</f>
        <v>575854.55714037013</v>
      </c>
      <c r="I72" s="1">
        <f t="shared" ref="I72:P72" si="31">I71</f>
        <v>577981.42953918059</v>
      </c>
      <c r="J72" s="1">
        <f t="shared" si="31"/>
        <v>558778.37423704599</v>
      </c>
      <c r="K72" s="1">
        <f t="shared" si="31"/>
        <v>530455.86373230629</v>
      </c>
      <c r="L72" s="1">
        <f t="shared" si="31"/>
        <v>495702.79314660805</v>
      </c>
      <c r="M72" s="1">
        <f t="shared" si="31"/>
        <v>456753.364447692</v>
      </c>
      <c r="N72" s="1">
        <f t="shared" si="31"/>
        <v>414472.47867010371</v>
      </c>
      <c r="O72" s="1">
        <f t="shared" si="31"/>
        <v>368751.19880656264</v>
      </c>
      <c r="P72" s="1">
        <f t="shared" si="31"/>
        <v>319303.12271362392</v>
      </c>
    </row>
    <row r="74" spans="5:16" x14ac:dyDescent="0.25">
      <c r="E74" s="1" t="s">
        <v>94</v>
      </c>
      <c r="F74" s="1">
        <f>F66+F70</f>
        <v>-206160.87736089155</v>
      </c>
      <c r="G74" s="1">
        <f>+G66-G71*(1-$B$44)+G70-F70</f>
        <v>161421.31760111637</v>
      </c>
      <c r="H74" s="1">
        <f t="shared" ref="H74:O74" si="32">+H66-H71*(1-$B$44)+H70-G70</f>
        <v>1203590.1596034961</v>
      </c>
      <c r="I74" s="1">
        <f t="shared" si="32"/>
        <v>1512860.9961858848</v>
      </c>
      <c r="J74" s="1">
        <f t="shared" si="32"/>
        <v>1601989.523432808</v>
      </c>
      <c r="K74" s="1">
        <f t="shared" si="32"/>
        <v>1633163.5735077746</v>
      </c>
      <c r="L74" s="1">
        <f t="shared" si="32"/>
        <v>1618640.6810129592</v>
      </c>
      <c r="M74" s="1">
        <f t="shared" si="32"/>
        <v>1582769.8634963138</v>
      </c>
      <c r="N74" s="1">
        <f t="shared" si="32"/>
        <v>1541316.4523436697</v>
      </c>
      <c r="O74" s="1">
        <f t="shared" si="32"/>
        <v>1496582.2273417581</v>
      </c>
      <c r="P74" s="1">
        <f>+P66-P71*(1-$B$44)+P70-O70-P70</f>
        <v>5245694.1588666774</v>
      </c>
    </row>
    <row r="75" spans="5:16" x14ac:dyDescent="0.25">
      <c r="E75" s="1" t="s">
        <v>89</v>
      </c>
      <c r="F75" s="1">
        <f>F74+NPV($B$52,G74:P74)</f>
        <v>7087678.2452782178</v>
      </c>
    </row>
    <row r="77" spans="5:16" x14ac:dyDescent="0.25">
      <c r="E77" s="1" t="s">
        <v>95</v>
      </c>
      <c r="F77" s="1">
        <f>F75+SUM(F31:F33)</f>
        <v>14587678.245278217</v>
      </c>
    </row>
    <row r="78" spans="5:16" x14ac:dyDescent="0.25">
      <c r="E78" s="1" t="s">
        <v>96</v>
      </c>
      <c r="F78" s="5">
        <f>F70/(-F66+F75)</f>
        <v>0.5</v>
      </c>
      <c r="G78" s="1">
        <v>0.5</v>
      </c>
      <c r="H78" s="1" t="s">
        <v>99</v>
      </c>
      <c r="I78" s="1">
        <f>F78-G78</f>
        <v>0</v>
      </c>
    </row>
    <row r="79" spans="5:16" x14ac:dyDescent="0.25">
      <c r="E79" s="1" t="s">
        <v>97</v>
      </c>
      <c r="F79" s="5">
        <f>G78*B50*(1-B44)+(1-G78)*B52</f>
        <v>9.7750000000000004E-2</v>
      </c>
    </row>
    <row r="80" spans="5:16" x14ac:dyDescent="0.25">
      <c r="E80" s="1" t="s">
        <v>98</v>
      </c>
      <c r="F80" s="1">
        <f>NPV($F$79,G66:P66)+F66</f>
        <v>7087678.2452782169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Wisconsin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 Quintin</dc:creator>
  <cp:lastModifiedBy>Bobby Brown</cp:lastModifiedBy>
  <dcterms:created xsi:type="dcterms:W3CDTF">2021-03-23T12:32:46Z</dcterms:created>
  <dcterms:modified xsi:type="dcterms:W3CDTF">2021-10-29T15:20:54Z</dcterms:modified>
</cp:coreProperties>
</file>